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charts/chart8.xml" ContentType="application/vnd.openxmlformats-officedocument.drawingml.chart+xml"/>
  <Override PartName="/xl/theme/themeOverride1.xml" ContentType="application/vnd.openxmlformats-officedocument.themeOverride+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theme/themeOverride2.xml" ContentType="application/vnd.openxmlformats-officedocument.themeOverride+xml"/>
  <Override PartName="/xl/charts/chart12.xml" ContentType="application/vnd.openxmlformats-officedocument.drawingml.chart+xml"/>
  <Override PartName="/xl/theme/themeOverride3.xml" ContentType="application/vnd.openxmlformats-officedocument.themeOverride+xml"/>
  <Override PartName="/xl/drawings/drawing8.xml" ContentType="application/vnd.openxmlformats-officedocument.drawing+xml"/>
  <Override PartName="/xl/charts/chart13.xml" ContentType="application/vnd.openxmlformats-officedocument.drawingml.chart+xml"/>
  <Override PartName="/xl/charts/style5.xml" ContentType="application/vnd.ms-office.chartstyle+xml"/>
  <Override PartName="/xl/charts/colors5.xml" ContentType="application/vnd.ms-office.chartcolorstyle+xml"/>
  <Override PartName="/xl/charts/chart14.xml" ContentType="application/vnd.openxmlformats-officedocument.drawingml.chart+xml"/>
  <Override PartName="/xl/drawings/drawing9.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0.xml" ContentType="application/vnd.openxmlformats-officedocument.drawing+xml"/>
  <Override PartName="/xl/charts/chart17.xml" ContentType="application/vnd.openxmlformats-officedocument.drawingml.chart+xml"/>
  <Override PartName="/xl/drawings/drawing11.xml" ContentType="application/vnd.openxmlformats-officedocument.drawing+xml"/>
  <Override PartName="/xl/charts/chart18.xml" ContentType="application/vnd.openxmlformats-officedocument.drawingml.chart+xml"/>
  <Override PartName="/xl/theme/themeOverride4.xml" ContentType="application/vnd.openxmlformats-officedocument.themeOverride+xml"/>
  <Override PartName="/xl/drawings/drawing12.xml" ContentType="application/vnd.openxmlformats-officedocument.drawing+xml"/>
  <Override PartName="/xl/charts/chart19.xml" ContentType="application/vnd.openxmlformats-officedocument.drawingml.chart+xml"/>
  <Override PartName="/xl/drawings/drawing13.xml" ContentType="application/vnd.openxmlformats-officedocument.drawing+xml"/>
  <Override PartName="/xl/charts/chart20.xml" ContentType="application/vnd.openxmlformats-officedocument.drawingml.chart+xml"/>
  <Override PartName="/xl/drawings/drawing14.xml" ContentType="application/vnd.openxmlformats-officedocument.drawing+xml"/>
  <Override PartName="/xl/charts/chart21.xml" ContentType="application/vnd.openxmlformats-officedocument.drawingml.chart+xml"/>
  <Override PartName="/xl/drawings/drawing15.xml" ContentType="application/vnd.openxmlformats-officedocument.drawing+xml"/>
  <Override PartName="/xl/charts/chart22.xml" ContentType="application/vnd.openxmlformats-officedocument.drawingml.chart+xml"/>
  <Override PartName="/xl/drawings/drawing16.xml" ContentType="application/vnd.openxmlformats-officedocument.drawing+xml"/>
  <Override PartName="/xl/charts/chart23.xml" ContentType="application/vnd.openxmlformats-officedocument.drawingml.chart+xml"/>
  <Override PartName="/xl/drawings/drawing17.xml" ContentType="application/vnd.openxmlformats-officedocument.drawing+xml"/>
  <Override PartName="/xl/charts/chart24.xml" ContentType="application/vnd.openxmlformats-officedocument.drawingml.chart+xml"/>
  <Override PartName="/xl/drawings/drawing18.xml" ContentType="application/vnd.openxmlformats-officedocument.drawing+xml"/>
  <Override PartName="/xl/charts/chart25.xml" ContentType="application/vnd.openxmlformats-officedocument.drawingml.chart+xml"/>
  <Override PartName="/xl/charts/style7.xml" ContentType="application/vnd.ms-office.chartstyle+xml"/>
  <Override PartName="/xl/charts/colors7.xml" ContentType="application/vnd.ms-office.chartcolorstyle+xml"/>
  <Override PartName="/xl/charts/chart2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https://fourragesmieux.sharepoint.com/sites/TeamFourragesMieux/Documents partages/General/Projet Agroécologie/Rations/"/>
    </mc:Choice>
  </mc:AlternateContent>
  <xr:revisionPtr revIDLastSave="2641" documentId="8_{CFD0FF06-52EB-4B5A-B082-6A6C54430BD1}" xr6:coauthVersionLast="47" xr6:coauthVersionMax="47" xr10:uidLastSave="{0F99086C-E62F-4516-980F-D011C3C5896D}"/>
  <workbookProtection workbookAlgorithmName="SHA-512" workbookHashValue="tIZ3ZbWmT2L1XtT2pTTts9hd+bEA0CvFmgE9lU4Vr5vz0mHIvpCR1LVpfpB6lU1BNn5sUVZL9ktljd3ZVjG7qw==" workbookSaltValue="SLWulrt4Tu/WWRzTxCwqfg==" workbookSpinCount="100000" lockStructure="1"/>
  <bookViews>
    <workbookView xWindow="28680" yWindow="-120" windowWidth="29040" windowHeight="15720" tabRatio="894" xr2:uid="{E83E7234-9955-4D71-89F2-CCEADDD1C42C}"/>
  </bookViews>
  <sheets>
    <sheet name="Introduction &amp; mode d'emploi" sheetId="27" r:id="rId1"/>
    <sheet name="Liste des aliments" sheetId="4" r:id="rId2"/>
    <sheet name="   VL   " sheetId="2" r:id="rId3"/>
    <sheet name="VL_P" sheetId="3" r:id="rId4"/>
    <sheet name="   VT   " sheetId="19" r:id="rId5"/>
    <sheet name="VT_P" sheetId="21" r:id="rId6"/>
    <sheet name="   GL   " sheetId="11" r:id="rId7"/>
    <sheet name="GL_P" sheetId="12" r:id="rId8"/>
    <sheet name="   TA   " sheetId="17" r:id="rId9"/>
    <sheet name="TA_P" sheetId="18" r:id="rId10"/>
    <sheet name="   VA   " sheetId="15" r:id="rId11"/>
    <sheet name="VA_P" sheetId="16" r:id="rId12"/>
    <sheet name="   GR   " sheetId="25" r:id="rId13"/>
    <sheet name="GR_P" sheetId="26" r:id="rId14"/>
    <sheet name="   VR   " sheetId="23" r:id="rId15"/>
    <sheet name="VR_P" sheetId="24" r:id="rId16"/>
    <sheet name="   BA   " sheetId="29" r:id="rId17"/>
    <sheet name="BA_P" sheetId="30" r:id="rId18"/>
    <sheet name=" AUTRE" sheetId="28" r:id="rId19"/>
  </sheets>
  <definedNames>
    <definedName name="_xlnm._FilterDatabase" localSheetId="1" hidden="1">'Liste des aliments'!$A$5:$AA$967</definedName>
    <definedName name="a" localSheetId="18">' AUTRE'!$AF$30:$AF$33</definedName>
    <definedName name="a">'   TA   '!$AD$30:$AD$33</definedName>
    <definedName name="b" localSheetId="18">' AUTRE'!$AG$30:$AG$33</definedName>
    <definedName name="b">'   TA   '!$AE$30:$AE$33</definedName>
    <definedName name="c_" localSheetId="18">' AUTRE'!$AH$30:$AH$33</definedName>
    <definedName name="c_">'   TA   '!$AF$30:$AF$33</definedName>
    <definedName name="d" localSheetId="18">' AUTRE'!$AI$30:$AI$33</definedName>
    <definedName name="d">'   TA   '!$AG$30:$AG$33</definedName>
    <definedName name="e" localSheetId="18">' AUTRE'!$AJ$30:$AJ$33</definedName>
    <definedName name="e">'   TA   '!$AH$30:$AH$33</definedName>
    <definedName name="f" localSheetId="18">' AUTRE'!$AK$30:$AK$33</definedName>
    <definedName name="f">'   TA   '!$AI$30:$AI$33</definedName>
    <definedName name="g" localSheetId="18">' AUTRE'!$AL$30:$AL$33</definedName>
    <definedName name="g">'   TA   '!$AJ$30:$AJ$33</definedName>
    <definedName name="h" localSheetId="18">' AUTRE'!$AM$30:$AM$33</definedName>
    <definedName name="h">'   TA   '!$AK$30:$AK$33</definedName>
    <definedName name="i" localSheetId="18">' AUTRE'!$AN$30:$AN$33</definedName>
    <definedName name="i">'   TA   '!$AL$31:$AL$34</definedName>
    <definedName name="j" localSheetId="18">' AUTRE'!$AO$30:$AO$33</definedName>
    <definedName name="j">'   TA   '!$AM$31:$AM$34</definedName>
    <definedName name="k" localSheetId="18">' AUTRE'!$AP$30:$AP$33</definedName>
    <definedName name="k">'   TA   '!$AN$31:$AN$34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2" i="17" l="1"/>
  <c r="AE51" i="17" s="1"/>
  <c r="Q11" i="28"/>
  <c r="G20" i="28"/>
  <c r="J11" i="28"/>
  <c r="A8" i="3"/>
  <c r="J10" i="15"/>
  <c r="AE49" i="17" l="1"/>
  <c r="I11" i="28"/>
  <c r="H12" i="15"/>
  <c r="H10" i="15"/>
  <c r="B13" i="30"/>
  <c r="B14" i="30"/>
  <c r="B15" i="30"/>
  <c r="B12" i="30"/>
  <c r="AA81" i="29"/>
  <c r="AA82" i="29"/>
  <c r="AA83" i="29"/>
  <c r="AA80" i="29"/>
  <c r="Z82" i="29"/>
  <c r="Z83" i="29"/>
  <c r="Z81" i="29"/>
  <c r="Y81" i="29"/>
  <c r="Y82" i="29"/>
  <c r="Y83" i="29"/>
  <c r="Y80" i="29"/>
  <c r="N85" i="29"/>
  <c r="X83" i="29"/>
  <c r="X82" i="29"/>
  <c r="X81" i="29"/>
  <c r="X80" i="29"/>
  <c r="AB83" i="29" l="1"/>
  <c r="AB80" i="29"/>
  <c r="AB82" i="29"/>
  <c r="AB81" i="29"/>
  <c r="I10" i="29" s="1"/>
  <c r="O10" i="29" l="1"/>
  <c r="N10" i="29"/>
  <c r="L10" i="29" l="1"/>
  <c r="H28" i="29"/>
  <c r="H29" i="29"/>
  <c r="H30" i="29"/>
  <c r="H31" i="29"/>
  <c r="H32" i="29"/>
  <c r="H33" i="29"/>
  <c r="H34" i="29"/>
  <c r="H35" i="29"/>
  <c r="H36" i="29"/>
  <c r="W83" i="29"/>
  <c r="D15" i="29" l="1"/>
  <c r="W82" i="29"/>
  <c r="W81" i="29"/>
  <c r="H14" i="29" s="1"/>
  <c r="W80" i="29"/>
  <c r="T83" i="29"/>
  <c r="T82" i="29"/>
  <c r="T81" i="29"/>
  <c r="T80" i="29"/>
  <c r="V83" i="29"/>
  <c r="V82" i="29"/>
  <c r="V81" i="29"/>
  <c r="V80" i="29"/>
  <c r="U83" i="29"/>
  <c r="U82" i="29"/>
  <c r="U81" i="29"/>
  <c r="L12" i="29" s="1"/>
  <c r="L14" i="29" s="1"/>
  <c r="U80" i="29"/>
  <c r="K10" i="29"/>
  <c r="J10" i="29"/>
  <c r="P86" i="29" s="1"/>
  <c r="B42" i="30"/>
  <c r="A42" i="30"/>
  <c r="B41" i="30"/>
  <c r="A41" i="30"/>
  <c r="B40" i="30"/>
  <c r="A40" i="30"/>
  <c r="B39" i="30"/>
  <c r="A39" i="30"/>
  <c r="B38" i="30"/>
  <c r="A38" i="30"/>
  <c r="B37" i="30"/>
  <c r="A37" i="30"/>
  <c r="B36" i="30"/>
  <c r="A36" i="30"/>
  <c r="B35" i="30"/>
  <c r="A35" i="30"/>
  <c r="B34" i="30"/>
  <c r="A34" i="30"/>
  <c r="B33" i="30"/>
  <c r="A33" i="30"/>
  <c r="B32" i="30"/>
  <c r="A32" i="30"/>
  <c r="B31" i="30"/>
  <c r="A31" i="30"/>
  <c r="B30" i="30"/>
  <c r="A30" i="30"/>
  <c r="B29" i="30"/>
  <c r="A29" i="30"/>
  <c r="B28" i="30"/>
  <c r="A28" i="30"/>
  <c r="B27" i="30"/>
  <c r="A27" i="30"/>
  <c r="B11" i="30"/>
  <c r="A8" i="30"/>
  <c r="A6" i="30"/>
  <c r="G2" i="30"/>
  <c r="H77" i="29"/>
  <c r="E75" i="29"/>
  <c r="D75" i="29"/>
  <c r="B75" i="29"/>
  <c r="R75" i="29" s="1"/>
  <c r="E74" i="29"/>
  <c r="D74" i="29"/>
  <c r="B74" i="29"/>
  <c r="R74" i="29" s="1"/>
  <c r="E73" i="29"/>
  <c r="D73" i="29"/>
  <c r="B73" i="29"/>
  <c r="Q73" i="29" s="1"/>
  <c r="E72" i="29"/>
  <c r="D72" i="29"/>
  <c r="B72" i="29"/>
  <c r="R72" i="29" s="1"/>
  <c r="E71" i="29"/>
  <c r="D71" i="29"/>
  <c r="B71" i="29"/>
  <c r="R71" i="29" s="1"/>
  <c r="E70" i="29"/>
  <c r="D70" i="29"/>
  <c r="B70" i="29"/>
  <c r="R70" i="29" s="1"/>
  <c r="E69" i="29"/>
  <c r="D69" i="29"/>
  <c r="B69" i="29"/>
  <c r="Q69" i="29" s="1"/>
  <c r="E68" i="29"/>
  <c r="D68" i="29"/>
  <c r="B68" i="29"/>
  <c r="R68" i="29" s="1"/>
  <c r="E67" i="29"/>
  <c r="D67" i="29"/>
  <c r="B67" i="29"/>
  <c r="R67" i="29" s="1"/>
  <c r="E66" i="29"/>
  <c r="D66" i="29"/>
  <c r="B66" i="29"/>
  <c r="E65" i="29"/>
  <c r="D65" i="29"/>
  <c r="B65" i="29"/>
  <c r="E64" i="29"/>
  <c r="D64" i="29"/>
  <c r="B64" i="29"/>
  <c r="E63" i="29"/>
  <c r="D63" i="29"/>
  <c r="B63" i="29"/>
  <c r="E62" i="29"/>
  <c r="D62" i="29"/>
  <c r="B62" i="29"/>
  <c r="E61" i="29"/>
  <c r="D61" i="29"/>
  <c r="B61" i="29"/>
  <c r="E60" i="29"/>
  <c r="D60" i="29"/>
  <c r="B60" i="29"/>
  <c r="D40" i="29"/>
  <c r="T36" i="29"/>
  <c r="S36" i="29"/>
  <c r="R36" i="29"/>
  <c r="Q36" i="29"/>
  <c r="P36" i="29"/>
  <c r="O36" i="29"/>
  <c r="N36" i="29"/>
  <c r="M36" i="29"/>
  <c r="L36" i="29"/>
  <c r="K36" i="29"/>
  <c r="J36" i="29"/>
  <c r="I36" i="29"/>
  <c r="G36" i="29"/>
  <c r="G75" i="29" s="1"/>
  <c r="F36" i="29"/>
  <c r="F75" i="29" s="1"/>
  <c r="C36" i="29"/>
  <c r="C75" i="29" s="1"/>
  <c r="T35" i="29"/>
  <c r="S35" i="29"/>
  <c r="R35" i="29"/>
  <c r="Q35" i="29"/>
  <c r="P35" i="29"/>
  <c r="O35" i="29"/>
  <c r="N35" i="29"/>
  <c r="M35" i="29"/>
  <c r="L35" i="29"/>
  <c r="K35" i="29"/>
  <c r="J35" i="29"/>
  <c r="I35" i="29"/>
  <c r="G35" i="29"/>
  <c r="C41" i="30" s="1"/>
  <c r="F35" i="29"/>
  <c r="F74" i="29" s="1"/>
  <c r="C35" i="29"/>
  <c r="C74" i="29" s="1"/>
  <c r="T34" i="29"/>
  <c r="S34" i="29"/>
  <c r="R34" i="29"/>
  <c r="Q34" i="29"/>
  <c r="P34" i="29"/>
  <c r="O34" i="29"/>
  <c r="N34" i="29"/>
  <c r="M34" i="29"/>
  <c r="L34" i="29"/>
  <c r="K34" i="29"/>
  <c r="J34" i="29"/>
  <c r="I34" i="29"/>
  <c r="G34" i="29"/>
  <c r="G73" i="29" s="1"/>
  <c r="F34" i="29"/>
  <c r="F73" i="29" s="1"/>
  <c r="C34" i="29"/>
  <c r="C73" i="29" s="1"/>
  <c r="T33" i="29"/>
  <c r="S33" i="29"/>
  <c r="R33" i="29"/>
  <c r="Q33" i="29"/>
  <c r="P33" i="29"/>
  <c r="O33" i="29"/>
  <c r="N33" i="29"/>
  <c r="M33" i="29"/>
  <c r="L33" i="29"/>
  <c r="K33" i="29"/>
  <c r="J33" i="29"/>
  <c r="I33" i="29"/>
  <c r="G33" i="29"/>
  <c r="C39" i="30" s="1"/>
  <c r="F33" i="29"/>
  <c r="F72" i="29" s="1"/>
  <c r="C33" i="29"/>
  <c r="C72" i="29" s="1"/>
  <c r="T32" i="29"/>
  <c r="S32" i="29"/>
  <c r="R32" i="29"/>
  <c r="Q32" i="29"/>
  <c r="P32" i="29"/>
  <c r="O32" i="29"/>
  <c r="N32" i="29"/>
  <c r="M32" i="29"/>
  <c r="L32" i="29"/>
  <c r="K32" i="29"/>
  <c r="J32" i="29"/>
  <c r="I32" i="29"/>
  <c r="G32" i="29"/>
  <c r="C38" i="30" s="1"/>
  <c r="F32" i="29"/>
  <c r="F71" i="29" s="1"/>
  <c r="C32" i="29"/>
  <c r="C71" i="29" s="1"/>
  <c r="T31" i="29"/>
  <c r="S31" i="29"/>
  <c r="R31" i="29"/>
  <c r="Q31" i="29"/>
  <c r="P31" i="29"/>
  <c r="O31" i="29"/>
  <c r="N31" i="29"/>
  <c r="M31" i="29"/>
  <c r="L31" i="29"/>
  <c r="K31" i="29"/>
  <c r="J31" i="29"/>
  <c r="I31" i="29"/>
  <c r="G31" i="29"/>
  <c r="G70" i="29" s="1"/>
  <c r="F31" i="29"/>
  <c r="F70" i="29" s="1"/>
  <c r="C31" i="29"/>
  <c r="C70" i="29" s="1"/>
  <c r="T30" i="29"/>
  <c r="S30" i="29"/>
  <c r="R30" i="29"/>
  <c r="Q30" i="29"/>
  <c r="P30" i="29"/>
  <c r="O30" i="29"/>
  <c r="N30" i="29"/>
  <c r="M30" i="29"/>
  <c r="L30" i="29"/>
  <c r="K30" i="29"/>
  <c r="J30" i="29"/>
  <c r="I30" i="29"/>
  <c r="G30" i="29"/>
  <c r="C36" i="30" s="1"/>
  <c r="F30" i="29"/>
  <c r="F69" i="29" s="1"/>
  <c r="C30" i="29"/>
  <c r="C69" i="29" s="1"/>
  <c r="T29" i="29"/>
  <c r="S29" i="29"/>
  <c r="R29" i="29"/>
  <c r="Q29" i="29"/>
  <c r="P29" i="29"/>
  <c r="O29" i="29"/>
  <c r="N29" i="29"/>
  <c r="M29" i="29"/>
  <c r="L29" i="29"/>
  <c r="K29" i="29"/>
  <c r="J29" i="29"/>
  <c r="I29" i="29"/>
  <c r="G29" i="29"/>
  <c r="G68" i="29" s="1"/>
  <c r="F29" i="29"/>
  <c r="F68" i="29" s="1"/>
  <c r="C29" i="29"/>
  <c r="C68" i="29" s="1"/>
  <c r="T28" i="29"/>
  <c r="S28" i="29"/>
  <c r="R28" i="29"/>
  <c r="Q28" i="29"/>
  <c r="P28" i="29"/>
  <c r="O28" i="29"/>
  <c r="N28" i="29"/>
  <c r="M28" i="29"/>
  <c r="L28" i="29"/>
  <c r="K28" i="29"/>
  <c r="J28" i="29"/>
  <c r="I28" i="29"/>
  <c r="G28" i="29"/>
  <c r="C34" i="30" s="1"/>
  <c r="F28" i="29"/>
  <c r="F67" i="29" s="1"/>
  <c r="C28" i="29"/>
  <c r="C67" i="29" s="1"/>
  <c r="T27" i="29"/>
  <c r="S27" i="29"/>
  <c r="R27" i="29"/>
  <c r="Q27" i="29"/>
  <c r="P27" i="29"/>
  <c r="O27" i="29"/>
  <c r="N27" i="29"/>
  <c r="M27" i="29"/>
  <c r="L27" i="29"/>
  <c r="K27" i="29"/>
  <c r="J27" i="29"/>
  <c r="I27" i="29"/>
  <c r="G27" i="29"/>
  <c r="G66" i="29" s="1"/>
  <c r="F27" i="29"/>
  <c r="F66" i="29" s="1"/>
  <c r="C27" i="29"/>
  <c r="T26" i="29"/>
  <c r="S26" i="29"/>
  <c r="R26" i="29"/>
  <c r="Q26" i="29"/>
  <c r="P26" i="29"/>
  <c r="O26" i="29"/>
  <c r="N26" i="29"/>
  <c r="M26" i="29"/>
  <c r="L26" i="29"/>
  <c r="K26" i="29"/>
  <c r="J26" i="29"/>
  <c r="I26" i="29"/>
  <c r="G26" i="29"/>
  <c r="C32" i="30" s="1"/>
  <c r="F26" i="29"/>
  <c r="F65" i="29" s="1"/>
  <c r="C26" i="29"/>
  <c r="T25" i="29"/>
  <c r="S25" i="29"/>
  <c r="R25" i="29"/>
  <c r="Q25" i="29"/>
  <c r="P25" i="29"/>
  <c r="O25" i="29"/>
  <c r="N25" i="29"/>
  <c r="M25" i="29"/>
  <c r="L25" i="29"/>
  <c r="K25" i="29"/>
  <c r="J25" i="29"/>
  <c r="I25" i="29"/>
  <c r="G25" i="29"/>
  <c r="G64" i="29" s="1"/>
  <c r="F25" i="29"/>
  <c r="F64" i="29" s="1"/>
  <c r="C25" i="29"/>
  <c r="T24" i="29"/>
  <c r="S24" i="29"/>
  <c r="R24" i="29"/>
  <c r="Q24" i="29"/>
  <c r="P24" i="29"/>
  <c r="O24" i="29"/>
  <c r="N24" i="29"/>
  <c r="M24" i="29"/>
  <c r="L24" i="29"/>
  <c r="K24" i="29"/>
  <c r="J24" i="29"/>
  <c r="I24" i="29"/>
  <c r="G24" i="29"/>
  <c r="C30" i="30" s="1"/>
  <c r="F24" i="29"/>
  <c r="F63" i="29" s="1"/>
  <c r="C24" i="29"/>
  <c r="T23" i="29"/>
  <c r="S23" i="29"/>
  <c r="R23" i="29"/>
  <c r="Q23" i="29"/>
  <c r="P23" i="29"/>
  <c r="O23" i="29"/>
  <c r="N23" i="29"/>
  <c r="M23" i="29"/>
  <c r="L23" i="29"/>
  <c r="K23" i="29"/>
  <c r="J23" i="29"/>
  <c r="I23" i="29"/>
  <c r="G23" i="29"/>
  <c r="C29" i="30" s="1"/>
  <c r="F23" i="29"/>
  <c r="F62" i="29" s="1"/>
  <c r="C23" i="29"/>
  <c r="T22" i="29"/>
  <c r="S22" i="29"/>
  <c r="R22" i="29"/>
  <c r="Q22" i="29"/>
  <c r="P22" i="29"/>
  <c r="O22" i="29"/>
  <c r="N22" i="29"/>
  <c r="M22" i="29"/>
  <c r="L22" i="29"/>
  <c r="K22" i="29"/>
  <c r="J22" i="29"/>
  <c r="I22" i="29"/>
  <c r="G22" i="29"/>
  <c r="G61" i="29" s="1"/>
  <c r="F22" i="29"/>
  <c r="F61" i="29" s="1"/>
  <c r="C22" i="29"/>
  <c r="C61" i="29" s="1"/>
  <c r="T21" i="29"/>
  <c r="S21" i="29"/>
  <c r="R21" i="29"/>
  <c r="Q21" i="29"/>
  <c r="P21" i="29"/>
  <c r="O21" i="29"/>
  <c r="N21" i="29"/>
  <c r="M21" i="29"/>
  <c r="L21" i="29"/>
  <c r="K21" i="29"/>
  <c r="J21" i="29"/>
  <c r="I21" i="29"/>
  <c r="G21" i="29"/>
  <c r="G60" i="29" s="1"/>
  <c r="F21" i="29"/>
  <c r="F60" i="29" s="1"/>
  <c r="C21" i="29"/>
  <c r="AI168" i="28"/>
  <c r="AI167" i="28"/>
  <c r="AI166" i="28"/>
  <c r="AI165" i="28"/>
  <c r="AI164" i="28"/>
  <c r="AI163" i="28"/>
  <c r="AI162" i="28"/>
  <c r="AI161" i="28"/>
  <c r="AI160" i="28"/>
  <c r="AI159" i="28"/>
  <c r="AI158" i="28"/>
  <c r="AI157" i="28"/>
  <c r="AI156" i="28"/>
  <c r="AI155" i="28"/>
  <c r="AI154" i="28"/>
  <c r="AI153" i="28"/>
  <c r="AI152" i="28"/>
  <c r="AI151" i="28"/>
  <c r="AI150" i="28"/>
  <c r="AI149" i="28"/>
  <c r="AI148" i="28"/>
  <c r="AI147" i="28"/>
  <c r="AI146" i="28"/>
  <c r="AI145" i="28"/>
  <c r="AI144" i="28"/>
  <c r="AI143" i="28"/>
  <c r="AI142" i="28"/>
  <c r="AI141" i="28"/>
  <c r="AI140" i="28"/>
  <c r="AI139" i="28"/>
  <c r="AI138" i="28"/>
  <c r="AI137" i="28"/>
  <c r="AI136" i="28"/>
  <c r="AI135" i="28"/>
  <c r="AI134" i="28"/>
  <c r="AI133" i="28"/>
  <c r="AI132" i="28"/>
  <c r="AI131" i="28"/>
  <c r="AI130" i="28"/>
  <c r="AI129" i="28"/>
  <c r="AI128" i="28"/>
  <c r="AI127" i="28"/>
  <c r="AI126" i="28"/>
  <c r="AI125" i="28"/>
  <c r="AI124" i="28"/>
  <c r="AI123" i="28"/>
  <c r="AI122" i="28"/>
  <c r="AI121" i="28"/>
  <c r="AI120" i="28"/>
  <c r="AI119" i="28"/>
  <c r="AI118" i="28"/>
  <c r="AI117" i="28"/>
  <c r="AI116" i="28"/>
  <c r="AI115" i="28"/>
  <c r="AI114" i="28"/>
  <c r="AI113" i="28"/>
  <c r="AI112" i="28"/>
  <c r="AI111" i="28"/>
  <c r="AI110" i="28"/>
  <c r="AI109" i="28"/>
  <c r="AI108" i="28"/>
  <c r="AI107" i="28"/>
  <c r="AI106" i="28"/>
  <c r="AI105" i="28"/>
  <c r="AI104" i="28"/>
  <c r="AI103" i="28"/>
  <c r="AI102" i="28"/>
  <c r="AI101" i="28"/>
  <c r="AI100" i="28"/>
  <c r="AI99" i="28"/>
  <c r="AI98" i="28"/>
  <c r="AI97" i="28"/>
  <c r="AI96" i="28"/>
  <c r="AI95" i="28"/>
  <c r="AI94" i="28"/>
  <c r="AI93" i="28"/>
  <c r="AI92" i="28"/>
  <c r="AI91" i="28"/>
  <c r="H91" i="28"/>
  <c r="AI90" i="28"/>
  <c r="AI89" i="28"/>
  <c r="W89" i="28"/>
  <c r="O89" i="28"/>
  <c r="E89" i="28"/>
  <c r="D89" i="28"/>
  <c r="B89" i="28"/>
  <c r="V89" i="28" s="1"/>
  <c r="AI88" i="28"/>
  <c r="X88" i="28"/>
  <c r="W88" i="28"/>
  <c r="S88" i="28"/>
  <c r="P88" i="28"/>
  <c r="O88" i="28"/>
  <c r="K88" i="28"/>
  <c r="H88" i="28"/>
  <c r="G88" i="28"/>
  <c r="E88" i="28"/>
  <c r="D88" i="28"/>
  <c r="B88" i="28"/>
  <c r="V88" i="28" s="1"/>
  <c r="AI87" i="28"/>
  <c r="Y87" i="28"/>
  <c r="X87" i="28"/>
  <c r="T87" i="28"/>
  <c r="Q87" i="28"/>
  <c r="P87" i="28"/>
  <c r="L87" i="28"/>
  <c r="I87" i="28"/>
  <c r="H87" i="28"/>
  <c r="E87" i="28"/>
  <c r="D87" i="28"/>
  <c r="B87" i="28"/>
  <c r="W87" i="28" s="1"/>
  <c r="AI86" i="28"/>
  <c r="E86" i="28"/>
  <c r="D86" i="28"/>
  <c r="B86" i="28"/>
  <c r="R86" i="28" s="1"/>
  <c r="AI85" i="28"/>
  <c r="V85" i="28"/>
  <c r="S85" i="28"/>
  <c r="N85" i="28"/>
  <c r="K85" i="28"/>
  <c r="E85" i="28"/>
  <c r="D85" i="28"/>
  <c r="B85" i="28"/>
  <c r="R85" i="28" s="1"/>
  <c r="AI84" i="28"/>
  <c r="W84" i="28"/>
  <c r="T84" i="28"/>
  <c r="S84" i="28"/>
  <c r="O84" i="28"/>
  <c r="L84" i="28"/>
  <c r="K84" i="28"/>
  <c r="E84" i="28"/>
  <c r="D84" i="28"/>
  <c r="B84" i="28"/>
  <c r="R84" i="28" s="1"/>
  <c r="AI83" i="28"/>
  <c r="X83" i="28"/>
  <c r="U83" i="28"/>
  <c r="T83" i="28"/>
  <c r="P83" i="28"/>
  <c r="M83" i="28"/>
  <c r="L83" i="28"/>
  <c r="H83" i="28"/>
  <c r="E83" i="28"/>
  <c r="D83" i="28"/>
  <c r="B83" i="28"/>
  <c r="S83" i="28" s="1"/>
  <c r="AI82" i="28"/>
  <c r="Y82" i="28"/>
  <c r="V82" i="28"/>
  <c r="U82" i="28"/>
  <c r="Q82" i="28"/>
  <c r="N82" i="28"/>
  <c r="M82" i="28"/>
  <c r="I82" i="28"/>
  <c r="E82" i="28"/>
  <c r="D82" i="28"/>
  <c r="B82" i="28"/>
  <c r="T82" i="28" s="1"/>
  <c r="AI81" i="28"/>
  <c r="W81" i="28"/>
  <c r="O81" i="28"/>
  <c r="G81" i="28"/>
  <c r="E81" i="28"/>
  <c r="D81" i="28"/>
  <c r="B81" i="28"/>
  <c r="V81" i="28" s="1"/>
  <c r="AI80" i="28"/>
  <c r="X80" i="28"/>
  <c r="W80" i="28"/>
  <c r="S80" i="28"/>
  <c r="P80" i="28"/>
  <c r="O80" i="28"/>
  <c r="K80" i="28"/>
  <c r="H80" i="28"/>
  <c r="E80" i="28"/>
  <c r="D80" i="28"/>
  <c r="B80" i="28"/>
  <c r="V80" i="28" s="1"/>
  <c r="AI79" i="28"/>
  <c r="Y79" i="28"/>
  <c r="X79" i="28"/>
  <c r="T79" i="28"/>
  <c r="Q79" i="28"/>
  <c r="P79" i="28"/>
  <c r="L79" i="28"/>
  <c r="I79" i="28"/>
  <c r="H79" i="28"/>
  <c r="E79" i="28"/>
  <c r="D79" i="28"/>
  <c r="B79" i="28"/>
  <c r="W79" i="28" s="1"/>
  <c r="AI78" i="28"/>
  <c r="E78" i="28"/>
  <c r="D78" i="28"/>
  <c r="B78" i="28"/>
  <c r="R78" i="28" s="1"/>
  <c r="AI77" i="28"/>
  <c r="V77" i="28"/>
  <c r="S77" i="28"/>
  <c r="N77" i="28"/>
  <c r="K77" i="28"/>
  <c r="E77" i="28"/>
  <c r="D77" i="28"/>
  <c r="B77" i="28"/>
  <c r="R77" i="28" s="1"/>
  <c r="AI76" i="28"/>
  <c r="W76" i="28"/>
  <c r="T76" i="28"/>
  <c r="S76" i="28"/>
  <c r="O76" i="28"/>
  <c r="L76" i="28"/>
  <c r="K76" i="28"/>
  <c r="E76" i="28"/>
  <c r="D76" i="28"/>
  <c r="B76" i="28"/>
  <c r="R76" i="28" s="1"/>
  <c r="AI75" i="28"/>
  <c r="X75" i="28"/>
  <c r="U75" i="28"/>
  <c r="T75" i="28"/>
  <c r="P75" i="28"/>
  <c r="M75" i="28"/>
  <c r="L75" i="28"/>
  <c r="H75" i="28"/>
  <c r="E75" i="28"/>
  <c r="D75" i="28"/>
  <c r="B75" i="28"/>
  <c r="S75" i="28" s="1"/>
  <c r="AI74" i="28"/>
  <c r="Y74" i="28"/>
  <c r="V74" i="28"/>
  <c r="U74" i="28"/>
  <c r="Q74" i="28"/>
  <c r="N74" i="28"/>
  <c r="M74" i="28"/>
  <c r="I74" i="28"/>
  <c r="E74" i="28"/>
  <c r="D74" i="28"/>
  <c r="D90" i="28" s="1"/>
  <c r="B74" i="28"/>
  <c r="T74" i="28" s="1"/>
  <c r="AI73" i="28"/>
  <c r="AI72" i="28"/>
  <c r="AI71" i="28"/>
  <c r="AI70" i="28"/>
  <c r="AI69" i="28"/>
  <c r="AI68" i="28"/>
  <c r="AI67" i="28"/>
  <c r="AI66" i="28"/>
  <c r="AI65" i="28"/>
  <c r="AI64" i="28"/>
  <c r="AI63" i="28"/>
  <c r="AI62" i="28"/>
  <c r="AI61" i="28"/>
  <c r="AI60" i="28"/>
  <c r="AI59" i="28"/>
  <c r="AI58" i="28"/>
  <c r="AI57" i="28"/>
  <c r="AI56" i="28"/>
  <c r="AI55" i="28"/>
  <c r="AI54" i="28"/>
  <c r="AI53" i="28"/>
  <c r="AI52" i="28"/>
  <c r="AI51" i="28"/>
  <c r="AI50" i="28"/>
  <c r="AI49" i="28"/>
  <c r="AI48" i="28"/>
  <c r="AI47" i="28"/>
  <c r="AI46" i="28"/>
  <c r="AI45" i="28"/>
  <c r="AI44" i="28"/>
  <c r="AI43" i="28"/>
  <c r="AI42" i="28"/>
  <c r="AI41" i="28"/>
  <c r="AI40" i="28"/>
  <c r="AI39" i="28"/>
  <c r="AI38" i="28"/>
  <c r="AI37" i="28"/>
  <c r="AE37" i="28"/>
  <c r="AE38" i="28" s="1"/>
  <c r="AE37" i="28" a="1"/>
  <c r="D36" i="28"/>
  <c r="G33" i="28"/>
  <c r="X32" i="28"/>
  <c r="W32" i="28"/>
  <c r="V32" i="28"/>
  <c r="U32" i="28"/>
  <c r="T32" i="28"/>
  <c r="S32" i="28"/>
  <c r="R32" i="28"/>
  <c r="Q32" i="28"/>
  <c r="P32" i="28"/>
  <c r="O32" i="28"/>
  <c r="N32" i="28"/>
  <c r="M32" i="28"/>
  <c r="L32" i="28"/>
  <c r="K32" i="28"/>
  <c r="J32" i="28"/>
  <c r="I32" i="28"/>
  <c r="H32" i="28"/>
  <c r="G32" i="28"/>
  <c r="G89" i="28" s="1"/>
  <c r="F32" i="28"/>
  <c r="F89" i="28" s="1"/>
  <c r="C32" i="28"/>
  <c r="C89" i="28" s="1"/>
  <c r="X31" i="28"/>
  <c r="W31" i="28"/>
  <c r="V31" i="28"/>
  <c r="U31" i="28"/>
  <c r="T31" i="28"/>
  <c r="S31" i="28"/>
  <c r="R31" i="28"/>
  <c r="Q31" i="28"/>
  <c r="P31" i="28"/>
  <c r="O31" i="28"/>
  <c r="N31" i="28"/>
  <c r="M31" i="28"/>
  <c r="L31" i="28"/>
  <c r="K31" i="28"/>
  <c r="J31" i="28"/>
  <c r="I31" i="28"/>
  <c r="H31" i="28"/>
  <c r="G31" i="28"/>
  <c r="F31" i="28"/>
  <c r="F88" i="28" s="1"/>
  <c r="C31" i="28"/>
  <c r="C88" i="28" s="1"/>
  <c r="X30" i="28"/>
  <c r="W30" i="28"/>
  <c r="V30" i="28"/>
  <c r="U30" i="28"/>
  <c r="T30" i="28"/>
  <c r="S30" i="28"/>
  <c r="R30" i="28"/>
  <c r="Q30" i="28"/>
  <c r="P30" i="28"/>
  <c r="O30" i="28"/>
  <c r="N30" i="28"/>
  <c r="M30" i="28"/>
  <c r="L30" i="28"/>
  <c r="K30" i="28"/>
  <c r="J30" i="28"/>
  <c r="I30" i="28"/>
  <c r="H30" i="28"/>
  <c r="G30" i="28"/>
  <c r="G87" i="28" s="1"/>
  <c r="F30" i="28"/>
  <c r="F87" i="28" s="1"/>
  <c r="C30" i="28"/>
  <c r="C87" i="28" s="1"/>
  <c r="AE29" i="28"/>
  <c r="X29" i="28"/>
  <c r="W29" i="28"/>
  <c r="V29" i="28"/>
  <c r="U29" i="28"/>
  <c r="T29" i="28"/>
  <c r="S29" i="28"/>
  <c r="R29" i="28"/>
  <c r="Q29" i="28"/>
  <c r="P29" i="28"/>
  <c r="O29" i="28"/>
  <c r="N29" i="28"/>
  <c r="M29" i="28"/>
  <c r="L29" i="28"/>
  <c r="K29" i="28"/>
  <c r="J29" i="28"/>
  <c r="I29" i="28"/>
  <c r="H29" i="28"/>
  <c r="G29" i="28"/>
  <c r="G86" i="28" s="1"/>
  <c r="F29" i="28"/>
  <c r="F86" i="28" s="1"/>
  <c r="C29" i="28"/>
  <c r="C86" i="28" s="1"/>
  <c r="X28" i="28"/>
  <c r="W28" i="28"/>
  <c r="V28" i="28"/>
  <c r="U28" i="28"/>
  <c r="T28" i="28"/>
  <c r="S28" i="28"/>
  <c r="R28" i="28"/>
  <c r="Q28" i="28"/>
  <c r="P28" i="28"/>
  <c r="O28" i="28"/>
  <c r="N28" i="28"/>
  <c r="M28" i="28"/>
  <c r="L28" i="28"/>
  <c r="K28" i="28"/>
  <c r="J28" i="28"/>
  <c r="I28" i="28"/>
  <c r="H28" i="28"/>
  <c r="G28" i="28"/>
  <c r="G85" i="28" s="1"/>
  <c r="F28" i="28"/>
  <c r="F85" i="28" s="1"/>
  <c r="C28" i="28"/>
  <c r="C85" i="28" s="1"/>
  <c r="X27" i="28"/>
  <c r="W27" i="28"/>
  <c r="V27" i="28"/>
  <c r="U27" i="28"/>
  <c r="T27" i="28"/>
  <c r="S27" i="28"/>
  <c r="R27" i="28"/>
  <c r="Q27" i="28"/>
  <c r="P27" i="28"/>
  <c r="O27" i="28"/>
  <c r="N27" i="28"/>
  <c r="M27" i="28"/>
  <c r="L27" i="28"/>
  <c r="K27" i="28"/>
  <c r="J27" i="28"/>
  <c r="I27" i="28"/>
  <c r="H27" i="28"/>
  <c r="G27" i="28"/>
  <c r="G84" i="28" s="1"/>
  <c r="F27" i="28"/>
  <c r="F84" i="28" s="1"/>
  <c r="C27" i="28"/>
  <c r="C84" i="28" s="1"/>
  <c r="X26" i="28"/>
  <c r="W26" i="28"/>
  <c r="V26" i="28"/>
  <c r="U26" i="28"/>
  <c r="T26" i="28"/>
  <c r="S26" i="28"/>
  <c r="R26" i="28"/>
  <c r="Q26" i="28"/>
  <c r="P26" i="28"/>
  <c r="O26" i="28"/>
  <c r="N26" i="28"/>
  <c r="M26" i="28"/>
  <c r="L26" i="28"/>
  <c r="K26" i="28"/>
  <c r="J26" i="28"/>
  <c r="I26" i="28"/>
  <c r="H26" i="28"/>
  <c r="G26" i="28"/>
  <c r="G83" i="28" s="1"/>
  <c r="F26" i="28"/>
  <c r="F83" i="28" s="1"/>
  <c r="C26" i="28"/>
  <c r="C83" i="28" s="1"/>
  <c r="X25" i="28"/>
  <c r="W25" i="28"/>
  <c r="V25" i="28"/>
  <c r="U25" i="28"/>
  <c r="T25" i="28"/>
  <c r="S25" i="28"/>
  <c r="R25" i="28"/>
  <c r="Q25" i="28"/>
  <c r="P25" i="28"/>
  <c r="O25" i="28"/>
  <c r="N25" i="28"/>
  <c r="M25" i="28"/>
  <c r="L25" i="28"/>
  <c r="K25" i="28"/>
  <c r="J25" i="28"/>
  <c r="I25" i="28"/>
  <c r="H25" i="28"/>
  <c r="G25" i="28"/>
  <c r="G82" i="28" s="1"/>
  <c r="F25" i="28"/>
  <c r="F82" i="28" s="1"/>
  <c r="C25" i="28"/>
  <c r="C82" i="28" s="1"/>
  <c r="X24" i="28"/>
  <c r="W24" i="28"/>
  <c r="V24" i="28"/>
  <c r="U24" i="28"/>
  <c r="T24" i="28"/>
  <c r="S24" i="28"/>
  <c r="R24" i="28"/>
  <c r="Q24" i="28"/>
  <c r="P24" i="28"/>
  <c r="O24" i="28"/>
  <c r="N24" i="28"/>
  <c r="M24" i="28"/>
  <c r="L24" i="28"/>
  <c r="K24" i="28"/>
  <c r="J24" i="28"/>
  <c r="I24" i="28"/>
  <c r="H24" i="28"/>
  <c r="G24" i="28"/>
  <c r="F24" i="28"/>
  <c r="F81" i="28" s="1"/>
  <c r="C24" i="28"/>
  <c r="C81" i="28" s="1"/>
  <c r="X23" i="28"/>
  <c r="W23" i="28"/>
  <c r="V23" i="28"/>
  <c r="U23" i="28"/>
  <c r="T23" i="28"/>
  <c r="S23" i="28"/>
  <c r="R23" i="28"/>
  <c r="Q23" i="28"/>
  <c r="P23" i="28"/>
  <c r="O23" i="28"/>
  <c r="N23" i="28"/>
  <c r="M23" i="28"/>
  <c r="L23" i="28"/>
  <c r="K23" i="28"/>
  <c r="J23" i="28"/>
  <c r="I23" i="28"/>
  <c r="H23" i="28"/>
  <c r="G23" i="28"/>
  <c r="G80" i="28" s="1"/>
  <c r="F23" i="28"/>
  <c r="F80" i="28" s="1"/>
  <c r="C23" i="28"/>
  <c r="C80" i="28" s="1"/>
  <c r="X22" i="28"/>
  <c r="W22" i="28"/>
  <c r="V22" i="28"/>
  <c r="U22" i="28"/>
  <c r="T22" i="28"/>
  <c r="S22" i="28"/>
  <c r="R22" i="28"/>
  <c r="Q22" i="28"/>
  <c r="P22" i="28"/>
  <c r="O22" i="28"/>
  <c r="N22" i="28"/>
  <c r="M22" i="28"/>
  <c r="L22" i="28"/>
  <c r="K22" i="28"/>
  <c r="J22" i="28"/>
  <c r="I22" i="28"/>
  <c r="H22" i="28"/>
  <c r="G22" i="28"/>
  <c r="G79" i="28" s="1"/>
  <c r="F22" i="28"/>
  <c r="F79" i="28" s="1"/>
  <c r="C22" i="28"/>
  <c r="C79" i="28" s="1"/>
  <c r="X21" i="28"/>
  <c r="W21" i="28"/>
  <c r="V21" i="28"/>
  <c r="U21" i="28"/>
  <c r="T21" i="28"/>
  <c r="S21" i="28"/>
  <c r="R21" i="28"/>
  <c r="Q21" i="28"/>
  <c r="P21" i="28"/>
  <c r="O21" i="28"/>
  <c r="N21" i="28"/>
  <c r="M21" i="28"/>
  <c r="L21" i="28"/>
  <c r="K21" i="28"/>
  <c r="J21" i="28"/>
  <c r="I21" i="28"/>
  <c r="H21" i="28"/>
  <c r="G21" i="28"/>
  <c r="G78" i="28" s="1"/>
  <c r="F21" i="28"/>
  <c r="F78" i="28" s="1"/>
  <c r="C21" i="28"/>
  <c r="C78" i="28" s="1"/>
  <c r="X20" i="28"/>
  <c r="W20" i="28"/>
  <c r="V20" i="28"/>
  <c r="U20" i="28"/>
  <c r="T20" i="28"/>
  <c r="S20" i="28"/>
  <c r="R20" i="28"/>
  <c r="Q20" i="28"/>
  <c r="P20" i="28"/>
  <c r="O20" i="28"/>
  <c r="N20" i="28"/>
  <c r="M20" i="28"/>
  <c r="L20" i="28"/>
  <c r="K20" i="28"/>
  <c r="J20" i="28"/>
  <c r="I20" i="28"/>
  <c r="H20" i="28"/>
  <c r="G77" i="28"/>
  <c r="F20" i="28"/>
  <c r="F77" i="28" s="1"/>
  <c r="C20" i="28"/>
  <c r="C77" i="28" s="1"/>
  <c r="X19" i="28"/>
  <c r="W19" i="28"/>
  <c r="V19" i="28"/>
  <c r="U19" i="28"/>
  <c r="T19" i="28"/>
  <c r="S19" i="28"/>
  <c r="R19" i="28"/>
  <c r="Q19" i="28"/>
  <c r="P19" i="28"/>
  <c r="O19" i="28"/>
  <c r="N19" i="28"/>
  <c r="M19" i="28"/>
  <c r="L19" i="28"/>
  <c r="K19" i="28"/>
  <c r="J19" i="28"/>
  <c r="I19" i="28"/>
  <c r="H19" i="28"/>
  <c r="G19" i="28"/>
  <c r="G76" i="28" s="1"/>
  <c r="F19" i="28"/>
  <c r="F76" i="28" s="1"/>
  <c r="C19" i="28"/>
  <c r="C76" i="28" s="1"/>
  <c r="X18" i="28"/>
  <c r="W18" i="28"/>
  <c r="V18" i="28"/>
  <c r="U18" i="28"/>
  <c r="T18" i="28"/>
  <c r="S18" i="28"/>
  <c r="R18" i="28"/>
  <c r="Q18" i="28"/>
  <c r="P18" i="28"/>
  <c r="O18" i="28"/>
  <c r="N18" i="28"/>
  <c r="M18" i="28"/>
  <c r="L18" i="28"/>
  <c r="K18" i="28"/>
  <c r="J18" i="28"/>
  <c r="I18" i="28"/>
  <c r="H18" i="28"/>
  <c r="G18" i="28"/>
  <c r="G75" i="28" s="1"/>
  <c r="F18" i="28"/>
  <c r="F75" i="28" s="1"/>
  <c r="C18" i="28"/>
  <c r="C75" i="28" s="1"/>
  <c r="X17" i="28"/>
  <c r="W17" i="28"/>
  <c r="V17" i="28"/>
  <c r="U17" i="28"/>
  <c r="T17" i="28"/>
  <c r="S17" i="28"/>
  <c r="R17" i="28"/>
  <c r="Q17" i="28"/>
  <c r="P17" i="28"/>
  <c r="O17" i="28"/>
  <c r="N17" i="28"/>
  <c r="M17" i="28"/>
  <c r="L17" i="28"/>
  <c r="K17" i="28"/>
  <c r="J17" i="28"/>
  <c r="I17" i="28"/>
  <c r="H17" i="28"/>
  <c r="G17" i="28"/>
  <c r="F17" i="28"/>
  <c r="F74" i="28" s="1"/>
  <c r="C17" i="28"/>
  <c r="C74" i="28" s="1"/>
  <c r="R11" i="28"/>
  <c r="P11" i="28"/>
  <c r="O11" i="28"/>
  <c r="N11" i="28"/>
  <c r="M11" i="28"/>
  <c r="L11" i="28"/>
  <c r="K11" i="28"/>
  <c r="W74" i="23"/>
  <c r="V74" i="23"/>
  <c r="U74" i="23"/>
  <c r="T74" i="23"/>
  <c r="S74" i="23"/>
  <c r="R74" i="23"/>
  <c r="Q74" i="23"/>
  <c r="P74" i="23"/>
  <c r="O74" i="23"/>
  <c r="N74" i="23"/>
  <c r="M74" i="23"/>
  <c r="L74" i="23"/>
  <c r="K74" i="23"/>
  <c r="J74" i="23"/>
  <c r="I74" i="23"/>
  <c r="H74" i="23"/>
  <c r="W73" i="23"/>
  <c r="V73" i="23"/>
  <c r="U73" i="23"/>
  <c r="T73" i="23"/>
  <c r="S73" i="23"/>
  <c r="R73" i="23"/>
  <c r="Q73" i="23"/>
  <c r="P73" i="23"/>
  <c r="O73" i="23"/>
  <c r="N73" i="23"/>
  <c r="M73" i="23"/>
  <c r="L73" i="23"/>
  <c r="K73" i="23"/>
  <c r="J73" i="23"/>
  <c r="I73" i="23"/>
  <c r="H73" i="23"/>
  <c r="W72" i="23"/>
  <c r="V72" i="23"/>
  <c r="U72" i="23"/>
  <c r="T72" i="23"/>
  <c r="S72" i="23"/>
  <c r="R72" i="23"/>
  <c r="Q72" i="23"/>
  <c r="P72" i="23"/>
  <c r="O72" i="23"/>
  <c r="N72" i="23"/>
  <c r="M72" i="23"/>
  <c r="L72" i="23"/>
  <c r="K72" i="23"/>
  <c r="J72" i="23"/>
  <c r="I72" i="23"/>
  <c r="H72" i="23"/>
  <c r="W71" i="23"/>
  <c r="V71" i="23"/>
  <c r="U71" i="23"/>
  <c r="T71" i="23"/>
  <c r="S71" i="23"/>
  <c r="R71" i="23"/>
  <c r="Q71" i="23"/>
  <c r="P71" i="23"/>
  <c r="O71" i="23"/>
  <c r="N71" i="23"/>
  <c r="M71" i="23"/>
  <c r="L71" i="23"/>
  <c r="K71" i="23"/>
  <c r="J71" i="23"/>
  <c r="I71" i="23"/>
  <c r="H71" i="23"/>
  <c r="W70" i="23"/>
  <c r="V70" i="23"/>
  <c r="U70" i="23"/>
  <c r="T70" i="23"/>
  <c r="S70" i="23"/>
  <c r="R70" i="23"/>
  <c r="Q70" i="23"/>
  <c r="P70" i="23"/>
  <c r="O70" i="23"/>
  <c r="N70" i="23"/>
  <c r="M70" i="23"/>
  <c r="L70" i="23"/>
  <c r="K70" i="23"/>
  <c r="J70" i="23"/>
  <c r="I70" i="23"/>
  <c r="H70" i="23"/>
  <c r="W69" i="23"/>
  <c r="V69" i="23"/>
  <c r="U69" i="23"/>
  <c r="T69" i="23"/>
  <c r="S69" i="23"/>
  <c r="R69" i="23"/>
  <c r="Q69" i="23"/>
  <c r="P69" i="23"/>
  <c r="O69" i="23"/>
  <c r="N69" i="23"/>
  <c r="M69" i="23"/>
  <c r="L69" i="23"/>
  <c r="K69" i="23"/>
  <c r="J69" i="23"/>
  <c r="I69" i="23"/>
  <c r="H69" i="23"/>
  <c r="W68" i="23"/>
  <c r="V68" i="23"/>
  <c r="U68" i="23"/>
  <c r="T68" i="23"/>
  <c r="S68" i="23"/>
  <c r="R68" i="23"/>
  <c r="Q68" i="23"/>
  <c r="P68" i="23"/>
  <c r="O68" i="23"/>
  <c r="N68" i="23"/>
  <c r="M68" i="23"/>
  <c r="L68" i="23"/>
  <c r="K68" i="23"/>
  <c r="J68" i="23"/>
  <c r="I68" i="23"/>
  <c r="H68" i="23"/>
  <c r="W67" i="23"/>
  <c r="V67" i="23"/>
  <c r="U67" i="23"/>
  <c r="T67" i="23"/>
  <c r="S67" i="23"/>
  <c r="R67" i="23"/>
  <c r="Q67" i="23"/>
  <c r="P67" i="23"/>
  <c r="O67" i="23"/>
  <c r="N67" i="23"/>
  <c r="M67" i="23"/>
  <c r="L67" i="23"/>
  <c r="K67" i="23"/>
  <c r="J67" i="23"/>
  <c r="I67" i="23"/>
  <c r="H67" i="23"/>
  <c r="W66" i="23"/>
  <c r="V66" i="23"/>
  <c r="U66" i="23"/>
  <c r="T66" i="23"/>
  <c r="S66" i="23"/>
  <c r="R66" i="23"/>
  <c r="Q66" i="23"/>
  <c r="P66" i="23"/>
  <c r="O66" i="23"/>
  <c r="N66" i="23"/>
  <c r="M66" i="23"/>
  <c r="L66" i="23"/>
  <c r="K66" i="23"/>
  <c r="J66" i="23"/>
  <c r="I66" i="23"/>
  <c r="H66" i="23"/>
  <c r="W63" i="23"/>
  <c r="V63" i="23"/>
  <c r="U63" i="23"/>
  <c r="T63" i="23"/>
  <c r="S63" i="23"/>
  <c r="R63" i="23"/>
  <c r="Q63" i="23"/>
  <c r="P63" i="23"/>
  <c r="O63" i="23"/>
  <c r="N63" i="23"/>
  <c r="M63" i="23"/>
  <c r="L63" i="23"/>
  <c r="K63" i="23"/>
  <c r="J63" i="23"/>
  <c r="I63" i="23"/>
  <c r="H63" i="23"/>
  <c r="W70" i="25"/>
  <c r="V70" i="25"/>
  <c r="U70" i="25"/>
  <c r="T70" i="25"/>
  <c r="S70" i="25"/>
  <c r="R70" i="25"/>
  <c r="Q70" i="25"/>
  <c r="P70" i="25"/>
  <c r="O70" i="25"/>
  <c r="N70" i="25"/>
  <c r="M70" i="25"/>
  <c r="L70" i="25"/>
  <c r="K70" i="25"/>
  <c r="J70" i="25"/>
  <c r="I70" i="25"/>
  <c r="H70" i="25"/>
  <c r="W69" i="25"/>
  <c r="V69" i="25"/>
  <c r="U69" i="25"/>
  <c r="T69" i="25"/>
  <c r="S69" i="25"/>
  <c r="R69" i="25"/>
  <c r="Q69" i="25"/>
  <c r="P69" i="25"/>
  <c r="O69" i="25"/>
  <c r="N69" i="25"/>
  <c r="M69" i="25"/>
  <c r="L69" i="25"/>
  <c r="K69" i="25"/>
  <c r="J69" i="25"/>
  <c r="I69" i="25"/>
  <c r="H69" i="25"/>
  <c r="W68" i="25"/>
  <c r="V68" i="25"/>
  <c r="U68" i="25"/>
  <c r="T68" i="25"/>
  <c r="S68" i="25"/>
  <c r="R68" i="25"/>
  <c r="Q68" i="25"/>
  <c r="P68" i="25"/>
  <c r="O68" i="25"/>
  <c r="N68" i="25"/>
  <c r="M68" i="25"/>
  <c r="L68" i="25"/>
  <c r="K68" i="25"/>
  <c r="J68" i="25"/>
  <c r="I68" i="25"/>
  <c r="H68" i="25"/>
  <c r="W67" i="25"/>
  <c r="V67" i="25"/>
  <c r="U67" i="25"/>
  <c r="T67" i="25"/>
  <c r="S67" i="25"/>
  <c r="R67" i="25"/>
  <c r="Q67" i="25"/>
  <c r="P67" i="25"/>
  <c r="O67" i="25"/>
  <c r="N67" i="25"/>
  <c r="M67" i="25"/>
  <c r="L67" i="25"/>
  <c r="K67" i="25"/>
  <c r="J67" i="25"/>
  <c r="I67" i="25"/>
  <c r="H67" i="25"/>
  <c r="W66" i="25"/>
  <c r="V66" i="25"/>
  <c r="U66" i="25"/>
  <c r="T66" i="25"/>
  <c r="S66" i="25"/>
  <c r="R66" i="25"/>
  <c r="Q66" i="25"/>
  <c r="P66" i="25"/>
  <c r="O66" i="25"/>
  <c r="N66" i="25"/>
  <c r="M66" i="25"/>
  <c r="L66" i="25"/>
  <c r="K66" i="25"/>
  <c r="J66" i="25"/>
  <c r="I66" i="25"/>
  <c r="H66" i="25"/>
  <c r="W65" i="25"/>
  <c r="V65" i="25"/>
  <c r="U65" i="25"/>
  <c r="T65" i="25"/>
  <c r="S65" i="25"/>
  <c r="R65" i="25"/>
  <c r="Q65" i="25"/>
  <c r="P65" i="25"/>
  <c r="O65" i="25"/>
  <c r="N65" i="25"/>
  <c r="M65" i="25"/>
  <c r="L65" i="25"/>
  <c r="K65" i="25"/>
  <c r="J65" i="25"/>
  <c r="I65" i="25"/>
  <c r="H65" i="25"/>
  <c r="W64" i="25"/>
  <c r="V64" i="25"/>
  <c r="U64" i="25"/>
  <c r="T64" i="25"/>
  <c r="S64" i="25"/>
  <c r="R64" i="25"/>
  <c r="Q64" i="25"/>
  <c r="P64" i="25"/>
  <c r="O64" i="25"/>
  <c r="N64" i="25"/>
  <c r="M64" i="25"/>
  <c r="L64" i="25"/>
  <c r="K64" i="25"/>
  <c r="J64" i="25"/>
  <c r="I64" i="25"/>
  <c r="H64" i="25"/>
  <c r="W63" i="25"/>
  <c r="V63" i="25"/>
  <c r="U63" i="25"/>
  <c r="T63" i="25"/>
  <c r="S63" i="25"/>
  <c r="R63" i="25"/>
  <c r="Q63" i="25"/>
  <c r="P63" i="25"/>
  <c r="O63" i="25"/>
  <c r="N63" i="25"/>
  <c r="M63" i="25"/>
  <c r="L63" i="25"/>
  <c r="K63" i="25"/>
  <c r="J63" i="25"/>
  <c r="I63" i="25"/>
  <c r="H63" i="25"/>
  <c r="W62" i="25"/>
  <c r="V62" i="25"/>
  <c r="U62" i="25"/>
  <c r="T62" i="25"/>
  <c r="S62" i="25"/>
  <c r="R62" i="25"/>
  <c r="Q62" i="25"/>
  <c r="P62" i="25"/>
  <c r="O62" i="25"/>
  <c r="N62" i="25"/>
  <c r="M62" i="25"/>
  <c r="L62" i="25"/>
  <c r="K62" i="25"/>
  <c r="J62" i="25"/>
  <c r="I62" i="25"/>
  <c r="H62" i="25"/>
  <c r="W61" i="25"/>
  <c r="V61" i="25"/>
  <c r="U61" i="25"/>
  <c r="T61" i="25"/>
  <c r="S61" i="25"/>
  <c r="R61" i="25"/>
  <c r="Q61" i="25"/>
  <c r="P61" i="25"/>
  <c r="O61" i="25"/>
  <c r="N61" i="25"/>
  <c r="M61" i="25"/>
  <c r="L61" i="25"/>
  <c r="K61" i="25"/>
  <c r="J61" i="25"/>
  <c r="I61" i="25"/>
  <c r="H61" i="25"/>
  <c r="W60" i="25"/>
  <c r="V60" i="25"/>
  <c r="U60" i="25"/>
  <c r="T60" i="25"/>
  <c r="S60" i="25"/>
  <c r="R60" i="25"/>
  <c r="Q60" i="25"/>
  <c r="P60" i="25"/>
  <c r="O60" i="25"/>
  <c r="N60" i="25"/>
  <c r="M60" i="25"/>
  <c r="L60" i="25"/>
  <c r="K60" i="25"/>
  <c r="J60" i="25"/>
  <c r="I60" i="25"/>
  <c r="H60" i="25"/>
  <c r="W59" i="25"/>
  <c r="V59" i="25"/>
  <c r="U59" i="25"/>
  <c r="T59" i="25"/>
  <c r="S59" i="25"/>
  <c r="R59" i="25"/>
  <c r="Q59" i="25"/>
  <c r="P59" i="25"/>
  <c r="O59" i="25"/>
  <c r="N59" i="25"/>
  <c r="M59" i="25"/>
  <c r="L59" i="25"/>
  <c r="K59" i="25"/>
  <c r="J59" i="25"/>
  <c r="I59" i="25"/>
  <c r="H59" i="25"/>
  <c r="W58" i="25"/>
  <c r="V58" i="25"/>
  <c r="U58" i="25"/>
  <c r="T58" i="25"/>
  <c r="S58" i="25"/>
  <c r="R58" i="25"/>
  <c r="Q58" i="25"/>
  <c r="P58" i="25"/>
  <c r="O58" i="25"/>
  <c r="N58" i="25"/>
  <c r="M58" i="25"/>
  <c r="L58" i="25"/>
  <c r="K58" i="25"/>
  <c r="J58" i="25"/>
  <c r="I58" i="25"/>
  <c r="H58" i="25"/>
  <c r="W57" i="25"/>
  <c r="V57" i="25"/>
  <c r="U57" i="25"/>
  <c r="T57" i="25"/>
  <c r="S57" i="25"/>
  <c r="R57" i="25"/>
  <c r="Q57" i="25"/>
  <c r="P57" i="25"/>
  <c r="O57" i="25"/>
  <c r="N57" i="25"/>
  <c r="M57" i="25"/>
  <c r="L57" i="25"/>
  <c r="K57" i="25"/>
  <c r="J57" i="25"/>
  <c r="I57" i="25"/>
  <c r="H57" i="25"/>
  <c r="W56" i="25"/>
  <c r="V56" i="25"/>
  <c r="U56" i="25"/>
  <c r="T56" i="25"/>
  <c r="S56" i="25"/>
  <c r="R56" i="25"/>
  <c r="Q56" i="25"/>
  <c r="P56" i="25"/>
  <c r="O56" i="25"/>
  <c r="N56" i="25"/>
  <c r="M56" i="25"/>
  <c r="L56" i="25"/>
  <c r="K56" i="25"/>
  <c r="J56" i="25"/>
  <c r="I56" i="25"/>
  <c r="H56" i="25"/>
  <c r="W75" i="15"/>
  <c r="V75" i="15"/>
  <c r="U75" i="15"/>
  <c r="T75" i="15"/>
  <c r="S75" i="15"/>
  <c r="R75" i="15"/>
  <c r="Q75" i="15"/>
  <c r="P75" i="15"/>
  <c r="O75" i="15"/>
  <c r="N75" i="15"/>
  <c r="M75" i="15"/>
  <c r="L75" i="15"/>
  <c r="K75" i="15"/>
  <c r="J75" i="15"/>
  <c r="I75" i="15"/>
  <c r="H75" i="15"/>
  <c r="W74" i="15"/>
  <c r="V74" i="15"/>
  <c r="U74" i="15"/>
  <c r="T74" i="15"/>
  <c r="S74" i="15"/>
  <c r="R74" i="15"/>
  <c r="Q74" i="15"/>
  <c r="P74" i="15"/>
  <c r="O74" i="15"/>
  <c r="N74" i="15"/>
  <c r="M74" i="15"/>
  <c r="L74" i="15"/>
  <c r="K74" i="15"/>
  <c r="J74" i="15"/>
  <c r="I74" i="15"/>
  <c r="H74" i="15"/>
  <c r="W73" i="15"/>
  <c r="V73" i="15"/>
  <c r="U73" i="15"/>
  <c r="T73" i="15"/>
  <c r="S73" i="15"/>
  <c r="R73" i="15"/>
  <c r="Q73" i="15"/>
  <c r="P73" i="15"/>
  <c r="O73" i="15"/>
  <c r="N73" i="15"/>
  <c r="M73" i="15"/>
  <c r="L73" i="15"/>
  <c r="K73" i="15"/>
  <c r="J73" i="15"/>
  <c r="I73" i="15"/>
  <c r="H73" i="15"/>
  <c r="W72" i="15"/>
  <c r="V72" i="15"/>
  <c r="U72" i="15"/>
  <c r="T72" i="15"/>
  <c r="S72" i="15"/>
  <c r="R72" i="15"/>
  <c r="Q72" i="15"/>
  <c r="P72" i="15"/>
  <c r="O72" i="15"/>
  <c r="N72" i="15"/>
  <c r="M72" i="15"/>
  <c r="L72" i="15"/>
  <c r="K72" i="15"/>
  <c r="J72" i="15"/>
  <c r="I72" i="15"/>
  <c r="H72" i="15"/>
  <c r="W71" i="15"/>
  <c r="V71" i="15"/>
  <c r="U71" i="15"/>
  <c r="T71" i="15"/>
  <c r="S71" i="15"/>
  <c r="R71" i="15"/>
  <c r="Q71" i="15"/>
  <c r="P71" i="15"/>
  <c r="O71" i="15"/>
  <c r="N71" i="15"/>
  <c r="M71" i="15"/>
  <c r="L71" i="15"/>
  <c r="K71" i="15"/>
  <c r="J71" i="15"/>
  <c r="I71" i="15"/>
  <c r="H71" i="15"/>
  <c r="W70" i="15"/>
  <c r="V70" i="15"/>
  <c r="U70" i="15"/>
  <c r="T70" i="15"/>
  <c r="S70" i="15"/>
  <c r="R70" i="15"/>
  <c r="Q70" i="15"/>
  <c r="P70" i="15"/>
  <c r="O70" i="15"/>
  <c r="N70" i="15"/>
  <c r="M70" i="15"/>
  <c r="L70" i="15"/>
  <c r="K70" i="15"/>
  <c r="J70" i="15"/>
  <c r="I70" i="15"/>
  <c r="H70" i="15"/>
  <c r="W69" i="15"/>
  <c r="V69" i="15"/>
  <c r="U69" i="15"/>
  <c r="T69" i="15"/>
  <c r="S69" i="15"/>
  <c r="R69" i="15"/>
  <c r="Q69" i="15"/>
  <c r="P69" i="15"/>
  <c r="O69" i="15"/>
  <c r="N69" i="15"/>
  <c r="M69" i="15"/>
  <c r="L69" i="15"/>
  <c r="K69" i="15"/>
  <c r="J69" i="15"/>
  <c r="I69" i="15"/>
  <c r="H69" i="15"/>
  <c r="W68" i="15"/>
  <c r="V68" i="15"/>
  <c r="U68" i="15"/>
  <c r="T68" i="15"/>
  <c r="S68" i="15"/>
  <c r="R68" i="15"/>
  <c r="Q68" i="15"/>
  <c r="P68" i="15"/>
  <c r="O68" i="15"/>
  <c r="N68" i="15"/>
  <c r="M68" i="15"/>
  <c r="L68" i="15"/>
  <c r="K68" i="15"/>
  <c r="J68" i="15"/>
  <c r="I68" i="15"/>
  <c r="H68" i="15"/>
  <c r="W67" i="15"/>
  <c r="V67" i="15"/>
  <c r="U67" i="15"/>
  <c r="T67" i="15"/>
  <c r="S67" i="15"/>
  <c r="R67" i="15"/>
  <c r="Q67" i="15"/>
  <c r="P67" i="15"/>
  <c r="O67" i="15"/>
  <c r="N67" i="15"/>
  <c r="M67" i="15"/>
  <c r="L67" i="15"/>
  <c r="K67" i="15"/>
  <c r="J67" i="15"/>
  <c r="I67" i="15"/>
  <c r="H67" i="15"/>
  <c r="W66" i="15"/>
  <c r="V66" i="15"/>
  <c r="U66" i="15"/>
  <c r="T66" i="15"/>
  <c r="S66" i="15"/>
  <c r="R66" i="15"/>
  <c r="Q66" i="15"/>
  <c r="P66" i="15"/>
  <c r="O66" i="15"/>
  <c r="N66" i="15"/>
  <c r="M66" i="15"/>
  <c r="L66" i="15"/>
  <c r="K66" i="15"/>
  <c r="J66" i="15"/>
  <c r="I66" i="15"/>
  <c r="H66" i="15"/>
  <c r="W65" i="15"/>
  <c r="V65" i="15"/>
  <c r="U65" i="15"/>
  <c r="T65" i="15"/>
  <c r="S65" i="15"/>
  <c r="R65" i="15"/>
  <c r="Q65" i="15"/>
  <c r="P65" i="15"/>
  <c r="O65" i="15"/>
  <c r="N65" i="15"/>
  <c r="M65" i="15"/>
  <c r="L65" i="15"/>
  <c r="K65" i="15"/>
  <c r="J65" i="15"/>
  <c r="I65" i="15"/>
  <c r="H65" i="15"/>
  <c r="W64" i="15"/>
  <c r="V64" i="15"/>
  <c r="U64" i="15"/>
  <c r="T64" i="15"/>
  <c r="S64" i="15"/>
  <c r="R64" i="15"/>
  <c r="Q64" i="15"/>
  <c r="P64" i="15"/>
  <c r="O64" i="15"/>
  <c r="N64" i="15"/>
  <c r="M64" i="15"/>
  <c r="L64" i="15"/>
  <c r="K64" i="15"/>
  <c r="J64" i="15"/>
  <c r="I64" i="15"/>
  <c r="H64" i="15"/>
  <c r="W63" i="15"/>
  <c r="V63" i="15"/>
  <c r="U63" i="15"/>
  <c r="T63" i="15"/>
  <c r="S63" i="15"/>
  <c r="R63" i="15"/>
  <c r="Q63" i="15"/>
  <c r="P63" i="15"/>
  <c r="O63" i="15"/>
  <c r="N63" i="15"/>
  <c r="M63" i="15"/>
  <c r="L63" i="15"/>
  <c r="K63" i="15"/>
  <c r="J63" i="15"/>
  <c r="I63" i="15"/>
  <c r="H63" i="15"/>
  <c r="W62" i="15"/>
  <c r="V62" i="15"/>
  <c r="U62" i="15"/>
  <c r="T62" i="15"/>
  <c r="S62" i="15"/>
  <c r="R62" i="15"/>
  <c r="Q62" i="15"/>
  <c r="P62" i="15"/>
  <c r="O62" i="15"/>
  <c r="N62" i="15"/>
  <c r="M62" i="15"/>
  <c r="L62" i="15"/>
  <c r="K62" i="15"/>
  <c r="J62" i="15"/>
  <c r="I62" i="15"/>
  <c r="H62" i="15"/>
  <c r="W91" i="11"/>
  <c r="V91" i="11"/>
  <c r="U91" i="11"/>
  <c r="T91" i="11"/>
  <c r="S91" i="11"/>
  <c r="R91" i="11"/>
  <c r="Q91" i="11"/>
  <c r="P91" i="11"/>
  <c r="O91" i="11"/>
  <c r="N91" i="11"/>
  <c r="M91" i="11"/>
  <c r="L91" i="11"/>
  <c r="K91" i="11"/>
  <c r="J91" i="11"/>
  <c r="I91" i="11"/>
  <c r="H91" i="11"/>
  <c r="W90" i="11"/>
  <c r="V90" i="11"/>
  <c r="U90" i="11"/>
  <c r="T90" i="11"/>
  <c r="S90" i="11"/>
  <c r="R90" i="11"/>
  <c r="Q90" i="11"/>
  <c r="P90" i="11"/>
  <c r="O90" i="11"/>
  <c r="N90" i="11"/>
  <c r="M90" i="11"/>
  <c r="L90" i="11"/>
  <c r="K90" i="11"/>
  <c r="J90" i="11"/>
  <c r="I90" i="11"/>
  <c r="H90" i="11"/>
  <c r="W89" i="11"/>
  <c r="V89" i="11"/>
  <c r="U89" i="11"/>
  <c r="T89" i="11"/>
  <c r="S89" i="11"/>
  <c r="R89" i="11"/>
  <c r="Q89" i="11"/>
  <c r="P89" i="11"/>
  <c r="O89" i="11"/>
  <c r="N89" i="11"/>
  <c r="M89" i="11"/>
  <c r="L89" i="11"/>
  <c r="K89" i="11"/>
  <c r="J89" i="11"/>
  <c r="I89" i="11"/>
  <c r="H89" i="11"/>
  <c r="W88" i="11"/>
  <c r="V88" i="11"/>
  <c r="U88" i="11"/>
  <c r="T88" i="11"/>
  <c r="S88" i="11"/>
  <c r="R88" i="11"/>
  <c r="Q88" i="11"/>
  <c r="P88" i="11"/>
  <c r="O88" i="11"/>
  <c r="N88" i="11"/>
  <c r="M88" i="11"/>
  <c r="L88" i="11"/>
  <c r="K88" i="11"/>
  <c r="J88" i="11"/>
  <c r="I88" i="11"/>
  <c r="H88" i="11"/>
  <c r="W87" i="11"/>
  <c r="V87" i="11"/>
  <c r="U87" i="11"/>
  <c r="T87" i="11"/>
  <c r="S87" i="11"/>
  <c r="R87" i="11"/>
  <c r="Q87" i="11"/>
  <c r="P87" i="11"/>
  <c r="O87" i="11"/>
  <c r="N87" i="11"/>
  <c r="M87" i="11"/>
  <c r="L87" i="11"/>
  <c r="K87" i="11"/>
  <c r="J87" i="11"/>
  <c r="I87" i="11"/>
  <c r="H87" i="11"/>
  <c r="W86" i="11"/>
  <c r="V86" i="11"/>
  <c r="U86" i="11"/>
  <c r="T86" i="11"/>
  <c r="S86" i="11"/>
  <c r="R86" i="11"/>
  <c r="Q86" i="11"/>
  <c r="P86" i="11"/>
  <c r="O86" i="11"/>
  <c r="N86" i="11"/>
  <c r="M86" i="11"/>
  <c r="L86" i="11"/>
  <c r="K86" i="11"/>
  <c r="J86" i="11"/>
  <c r="I86" i="11"/>
  <c r="H86" i="11"/>
  <c r="W85" i="11"/>
  <c r="V85" i="11"/>
  <c r="U85" i="11"/>
  <c r="T85" i="11"/>
  <c r="S85" i="11"/>
  <c r="R85" i="11"/>
  <c r="Q85" i="11"/>
  <c r="P85" i="11"/>
  <c r="O85" i="11"/>
  <c r="N85" i="11"/>
  <c r="M85" i="11"/>
  <c r="L85" i="11"/>
  <c r="K85" i="11"/>
  <c r="J85" i="11"/>
  <c r="I85" i="11"/>
  <c r="H85" i="11"/>
  <c r="W84" i="11"/>
  <c r="V84" i="11"/>
  <c r="U84" i="11"/>
  <c r="T84" i="11"/>
  <c r="S84" i="11"/>
  <c r="R84" i="11"/>
  <c r="Q84" i="11"/>
  <c r="P84" i="11"/>
  <c r="O84" i="11"/>
  <c r="N84" i="11"/>
  <c r="M84" i="11"/>
  <c r="L84" i="11"/>
  <c r="K84" i="11"/>
  <c r="J84" i="11"/>
  <c r="I84" i="11"/>
  <c r="H84" i="11"/>
  <c r="W83" i="11"/>
  <c r="V83" i="11"/>
  <c r="U83" i="11"/>
  <c r="T83" i="11"/>
  <c r="S83" i="11"/>
  <c r="R83" i="11"/>
  <c r="Q83" i="11"/>
  <c r="P83" i="11"/>
  <c r="O83" i="11"/>
  <c r="N83" i="11"/>
  <c r="M83" i="11"/>
  <c r="L83" i="11"/>
  <c r="K83" i="11"/>
  <c r="J83" i="11"/>
  <c r="I83" i="11"/>
  <c r="H83" i="11"/>
  <c r="W82" i="11"/>
  <c r="V82" i="11"/>
  <c r="U82" i="11"/>
  <c r="T82" i="11"/>
  <c r="S82" i="11"/>
  <c r="R82" i="11"/>
  <c r="Q82" i="11"/>
  <c r="P82" i="11"/>
  <c r="O82" i="11"/>
  <c r="N82" i="11"/>
  <c r="M82" i="11"/>
  <c r="L82" i="11"/>
  <c r="K82" i="11"/>
  <c r="J82" i="11"/>
  <c r="I82" i="11"/>
  <c r="H82" i="11"/>
  <c r="W81" i="11"/>
  <c r="V81" i="11"/>
  <c r="U81" i="11"/>
  <c r="T81" i="11"/>
  <c r="S81" i="11"/>
  <c r="R81" i="11"/>
  <c r="Q81" i="11"/>
  <c r="P81" i="11"/>
  <c r="O81" i="11"/>
  <c r="N81" i="11"/>
  <c r="M81" i="11"/>
  <c r="L81" i="11"/>
  <c r="K81" i="11"/>
  <c r="J81" i="11"/>
  <c r="I81" i="11"/>
  <c r="H81" i="11"/>
  <c r="W80" i="11"/>
  <c r="V80" i="11"/>
  <c r="U80" i="11"/>
  <c r="T80" i="11"/>
  <c r="S80" i="11"/>
  <c r="R80" i="11"/>
  <c r="Q80" i="11"/>
  <c r="P80" i="11"/>
  <c r="O80" i="11"/>
  <c r="N80" i="11"/>
  <c r="M80" i="11"/>
  <c r="L80" i="11"/>
  <c r="K80" i="11"/>
  <c r="J80" i="11"/>
  <c r="I80" i="11"/>
  <c r="H80" i="11"/>
  <c r="W79" i="11"/>
  <c r="V79" i="11"/>
  <c r="U79" i="11"/>
  <c r="T79" i="11"/>
  <c r="S79" i="11"/>
  <c r="R79" i="11"/>
  <c r="Q79" i="11"/>
  <c r="P79" i="11"/>
  <c r="O79" i="11"/>
  <c r="N79" i="11"/>
  <c r="M79" i="11"/>
  <c r="L79" i="11"/>
  <c r="K79" i="11"/>
  <c r="J79" i="11"/>
  <c r="I79" i="11"/>
  <c r="H79" i="11"/>
  <c r="W78" i="11"/>
  <c r="V78" i="11"/>
  <c r="U78" i="11"/>
  <c r="T78" i="11"/>
  <c r="S78" i="11"/>
  <c r="R78" i="11"/>
  <c r="Q78" i="11"/>
  <c r="P78" i="11"/>
  <c r="O78" i="11"/>
  <c r="N78" i="11"/>
  <c r="M78" i="11"/>
  <c r="L78" i="11"/>
  <c r="K78" i="11"/>
  <c r="J78" i="11"/>
  <c r="I78" i="11"/>
  <c r="H78" i="11"/>
  <c r="W77" i="11"/>
  <c r="V77" i="11"/>
  <c r="U77" i="11"/>
  <c r="T77" i="11"/>
  <c r="S77" i="11"/>
  <c r="R77" i="11"/>
  <c r="Q77" i="11"/>
  <c r="P77" i="11"/>
  <c r="O77" i="11"/>
  <c r="N77" i="11"/>
  <c r="M77" i="11"/>
  <c r="L77" i="11"/>
  <c r="K77" i="11"/>
  <c r="J77" i="11"/>
  <c r="I77" i="11"/>
  <c r="H77" i="11"/>
  <c r="X90" i="19"/>
  <c r="W90" i="19"/>
  <c r="V90" i="19"/>
  <c r="U90" i="19"/>
  <c r="T90" i="19"/>
  <c r="S90" i="19"/>
  <c r="R90" i="19"/>
  <c r="Q90" i="19"/>
  <c r="P90" i="19"/>
  <c r="O90" i="19"/>
  <c r="N90" i="19"/>
  <c r="M90" i="19"/>
  <c r="L90" i="19"/>
  <c r="K90" i="19"/>
  <c r="J90" i="19"/>
  <c r="I90" i="19"/>
  <c r="H90" i="19"/>
  <c r="X89" i="19"/>
  <c r="W89" i="19"/>
  <c r="V89" i="19"/>
  <c r="U89" i="19"/>
  <c r="T89" i="19"/>
  <c r="S89" i="19"/>
  <c r="R89" i="19"/>
  <c r="Q89" i="19"/>
  <c r="P89" i="19"/>
  <c r="O89" i="19"/>
  <c r="N89" i="19"/>
  <c r="M89" i="19"/>
  <c r="L89" i="19"/>
  <c r="K89" i="19"/>
  <c r="J89" i="19"/>
  <c r="I89" i="19"/>
  <c r="H89" i="19"/>
  <c r="X88" i="19"/>
  <c r="W88" i="19"/>
  <c r="V88" i="19"/>
  <c r="U88" i="19"/>
  <c r="T88" i="19"/>
  <c r="S88" i="19"/>
  <c r="R88" i="19"/>
  <c r="Q88" i="19"/>
  <c r="P88" i="19"/>
  <c r="O88" i="19"/>
  <c r="N88" i="19"/>
  <c r="M88" i="19"/>
  <c r="L88" i="19"/>
  <c r="K88" i="19"/>
  <c r="J88" i="19"/>
  <c r="I88" i="19"/>
  <c r="H88" i="19"/>
  <c r="X87" i="19"/>
  <c r="W87" i="19"/>
  <c r="V87" i="19"/>
  <c r="U87" i="19"/>
  <c r="T87" i="19"/>
  <c r="S87" i="19"/>
  <c r="R87" i="19"/>
  <c r="Q87" i="19"/>
  <c r="P87" i="19"/>
  <c r="O87" i="19"/>
  <c r="N87" i="19"/>
  <c r="M87" i="19"/>
  <c r="L87" i="19"/>
  <c r="K87" i="19"/>
  <c r="J87" i="19"/>
  <c r="I87" i="19"/>
  <c r="H87" i="19"/>
  <c r="X86" i="19"/>
  <c r="W86" i="19"/>
  <c r="V86" i="19"/>
  <c r="U86" i="19"/>
  <c r="T86" i="19"/>
  <c r="S86" i="19"/>
  <c r="R86" i="19"/>
  <c r="Q86" i="19"/>
  <c r="P86" i="19"/>
  <c r="O86" i="19"/>
  <c r="N86" i="19"/>
  <c r="M86" i="19"/>
  <c r="L86" i="19"/>
  <c r="K86" i="19"/>
  <c r="J86" i="19"/>
  <c r="I86" i="19"/>
  <c r="H86" i="19"/>
  <c r="X85" i="19"/>
  <c r="W85" i="19"/>
  <c r="V85" i="19"/>
  <c r="U85" i="19"/>
  <c r="T85" i="19"/>
  <c r="S85" i="19"/>
  <c r="R85" i="19"/>
  <c r="Q85" i="19"/>
  <c r="P85" i="19"/>
  <c r="O85" i="19"/>
  <c r="N85" i="19"/>
  <c r="M85" i="19"/>
  <c r="L85" i="19"/>
  <c r="K85" i="19"/>
  <c r="J85" i="19"/>
  <c r="I85" i="19"/>
  <c r="H85" i="19"/>
  <c r="X84" i="19"/>
  <c r="W84" i="19"/>
  <c r="V84" i="19"/>
  <c r="U84" i="19"/>
  <c r="T84" i="19"/>
  <c r="S84" i="19"/>
  <c r="R84" i="19"/>
  <c r="Q84" i="19"/>
  <c r="P84" i="19"/>
  <c r="O84" i="19"/>
  <c r="N84" i="19"/>
  <c r="M84" i="19"/>
  <c r="L84" i="19"/>
  <c r="K84" i="19"/>
  <c r="J84" i="19"/>
  <c r="I84" i="19"/>
  <c r="H84" i="19"/>
  <c r="X83" i="19"/>
  <c r="W83" i="19"/>
  <c r="V83" i="19"/>
  <c r="U83" i="19"/>
  <c r="T83" i="19"/>
  <c r="S83" i="19"/>
  <c r="R83" i="19"/>
  <c r="Q83" i="19"/>
  <c r="P83" i="19"/>
  <c r="O83" i="19"/>
  <c r="N83" i="19"/>
  <c r="M83" i="19"/>
  <c r="L83" i="19"/>
  <c r="K83" i="19"/>
  <c r="J83" i="19"/>
  <c r="I83" i="19"/>
  <c r="H83" i="19"/>
  <c r="X82" i="19"/>
  <c r="W82" i="19"/>
  <c r="V82" i="19"/>
  <c r="U82" i="19"/>
  <c r="T82" i="19"/>
  <c r="S82" i="19"/>
  <c r="R82" i="19"/>
  <c r="Q82" i="19"/>
  <c r="P82" i="19"/>
  <c r="O82" i="19"/>
  <c r="N82" i="19"/>
  <c r="M82" i="19"/>
  <c r="L82" i="19"/>
  <c r="K82" i="19"/>
  <c r="J82" i="19"/>
  <c r="I82" i="19"/>
  <c r="H82" i="19"/>
  <c r="X81" i="19"/>
  <c r="W81" i="19"/>
  <c r="V81" i="19"/>
  <c r="U81" i="19"/>
  <c r="T81" i="19"/>
  <c r="S81" i="19"/>
  <c r="R81" i="19"/>
  <c r="Q81" i="19"/>
  <c r="P81" i="19"/>
  <c r="O81" i="19"/>
  <c r="N81" i="19"/>
  <c r="M81" i="19"/>
  <c r="L81" i="19"/>
  <c r="K81" i="19"/>
  <c r="J81" i="19"/>
  <c r="I81" i="19"/>
  <c r="H81" i="19"/>
  <c r="X80" i="19"/>
  <c r="W80" i="19"/>
  <c r="V80" i="19"/>
  <c r="U80" i="19"/>
  <c r="T80" i="19"/>
  <c r="S80" i="19"/>
  <c r="R80" i="19"/>
  <c r="Q80" i="19"/>
  <c r="P80" i="19"/>
  <c r="O80" i="19"/>
  <c r="N80" i="19"/>
  <c r="M80" i="19"/>
  <c r="L80" i="19"/>
  <c r="K80" i="19"/>
  <c r="J80" i="19"/>
  <c r="I80" i="19"/>
  <c r="H80" i="19"/>
  <c r="X79" i="19"/>
  <c r="W79" i="19"/>
  <c r="V79" i="19"/>
  <c r="U79" i="19"/>
  <c r="T79" i="19"/>
  <c r="S79" i="19"/>
  <c r="R79" i="19"/>
  <c r="Q79" i="19"/>
  <c r="P79" i="19"/>
  <c r="O79" i="19"/>
  <c r="N79" i="19"/>
  <c r="M79" i="19"/>
  <c r="L79" i="19"/>
  <c r="K79" i="19"/>
  <c r="J79" i="19"/>
  <c r="I79" i="19"/>
  <c r="H79" i="19"/>
  <c r="X78" i="19"/>
  <c r="W78" i="19"/>
  <c r="V78" i="19"/>
  <c r="U78" i="19"/>
  <c r="T78" i="19"/>
  <c r="S78" i="19"/>
  <c r="R78" i="19"/>
  <c r="Q78" i="19"/>
  <c r="P78" i="19"/>
  <c r="O78" i="19"/>
  <c r="N78" i="19"/>
  <c r="M78" i="19"/>
  <c r="L78" i="19"/>
  <c r="K78" i="19"/>
  <c r="J78" i="19"/>
  <c r="I78" i="19"/>
  <c r="H78" i="19"/>
  <c r="X77" i="19"/>
  <c r="W77" i="19"/>
  <c r="V77" i="19"/>
  <c r="U77" i="19"/>
  <c r="T77" i="19"/>
  <c r="S77" i="19"/>
  <c r="R77" i="19"/>
  <c r="Q77" i="19"/>
  <c r="P77" i="19"/>
  <c r="O77" i="19"/>
  <c r="N77" i="19"/>
  <c r="M77" i="19"/>
  <c r="L77" i="19"/>
  <c r="K77" i="19"/>
  <c r="J77" i="19"/>
  <c r="I77" i="19"/>
  <c r="H77" i="19"/>
  <c r="X76" i="19"/>
  <c r="W76" i="19"/>
  <c r="V76" i="19"/>
  <c r="U76" i="19"/>
  <c r="T76" i="19"/>
  <c r="S76" i="19"/>
  <c r="R76" i="19"/>
  <c r="Q76" i="19"/>
  <c r="P76" i="19"/>
  <c r="O76" i="19"/>
  <c r="N76" i="19"/>
  <c r="M76" i="19"/>
  <c r="L76" i="19"/>
  <c r="K76" i="19"/>
  <c r="J76" i="19"/>
  <c r="I76" i="19"/>
  <c r="H76" i="19"/>
  <c r="W75" i="2"/>
  <c r="V75" i="2"/>
  <c r="U75" i="2"/>
  <c r="T75" i="2"/>
  <c r="S75" i="2"/>
  <c r="R75" i="2"/>
  <c r="Q75" i="2"/>
  <c r="P75" i="2"/>
  <c r="O75" i="2"/>
  <c r="N75" i="2"/>
  <c r="M75" i="2"/>
  <c r="L75" i="2"/>
  <c r="K75" i="2"/>
  <c r="J75" i="2"/>
  <c r="I75" i="2"/>
  <c r="H75" i="2"/>
  <c r="W74" i="2"/>
  <c r="V74" i="2"/>
  <c r="U74" i="2"/>
  <c r="T74" i="2"/>
  <c r="S74" i="2"/>
  <c r="R74" i="2"/>
  <c r="Q74" i="2"/>
  <c r="P74" i="2"/>
  <c r="O74" i="2"/>
  <c r="N74" i="2"/>
  <c r="M74" i="2"/>
  <c r="L74" i="2"/>
  <c r="K74" i="2"/>
  <c r="J74" i="2"/>
  <c r="I74" i="2"/>
  <c r="H74" i="2"/>
  <c r="W73" i="2"/>
  <c r="V73" i="2"/>
  <c r="U73" i="2"/>
  <c r="T73" i="2"/>
  <c r="S73" i="2"/>
  <c r="R73" i="2"/>
  <c r="Q73" i="2"/>
  <c r="P73" i="2"/>
  <c r="O73" i="2"/>
  <c r="N73" i="2"/>
  <c r="M73" i="2"/>
  <c r="L73" i="2"/>
  <c r="K73" i="2"/>
  <c r="J73" i="2"/>
  <c r="I73" i="2"/>
  <c r="H73" i="2"/>
  <c r="W72" i="2"/>
  <c r="V72" i="2"/>
  <c r="U72" i="2"/>
  <c r="T72" i="2"/>
  <c r="S72" i="2"/>
  <c r="R72" i="2"/>
  <c r="Q72" i="2"/>
  <c r="P72" i="2"/>
  <c r="O72" i="2"/>
  <c r="N72" i="2"/>
  <c r="M72" i="2"/>
  <c r="L72" i="2"/>
  <c r="K72" i="2"/>
  <c r="J72" i="2"/>
  <c r="I72" i="2"/>
  <c r="H72" i="2"/>
  <c r="W71" i="2"/>
  <c r="V71" i="2"/>
  <c r="U71" i="2"/>
  <c r="T71" i="2"/>
  <c r="S71" i="2"/>
  <c r="R71" i="2"/>
  <c r="Q71" i="2"/>
  <c r="P71" i="2"/>
  <c r="O71" i="2"/>
  <c r="N71" i="2"/>
  <c r="M71" i="2"/>
  <c r="L71" i="2"/>
  <c r="K71" i="2"/>
  <c r="J71" i="2"/>
  <c r="I71" i="2"/>
  <c r="H71" i="2"/>
  <c r="W70" i="2"/>
  <c r="V70" i="2"/>
  <c r="U70" i="2"/>
  <c r="T70" i="2"/>
  <c r="S70" i="2"/>
  <c r="R70" i="2"/>
  <c r="Q70" i="2"/>
  <c r="P70" i="2"/>
  <c r="O70" i="2"/>
  <c r="N70" i="2"/>
  <c r="M70" i="2"/>
  <c r="L70" i="2"/>
  <c r="K70" i="2"/>
  <c r="J70" i="2"/>
  <c r="I70" i="2"/>
  <c r="H70" i="2"/>
  <c r="D60" i="2"/>
  <c r="I13" i="29" l="1"/>
  <c r="I14" i="29" s="1"/>
  <c r="M15" i="29"/>
  <c r="L15" i="29"/>
  <c r="K12" i="29"/>
  <c r="K14" i="29" s="1"/>
  <c r="C66" i="29"/>
  <c r="R66" i="29" s="1"/>
  <c r="C65" i="29"/>
  <c r="Q65" i="29" s="1"/>
  <c r="C64" i="29"/>
  <c r="T64" i="29" s="1"/>
  <c r="H25" i="29"/>
  <c r="C63" i="29"/>
  <c r="M63" i="29" s="1"/>
  <c r="H24" i="29"/>
  <c r="C60" i="29"/>
  <c r="O60" i="29" s="1"/>
  <c r="C62" i="29"/>
  <c r="R62" i="29" s="1"/>
  <c r="Q61" i="29"/>
  <c r="G36" i="28"/>
  <c r="R4" i="28" s="1"/>
  <c r="J87" i="29"/>
  <c r="I87" i="29"/>
  <c r="I83" i="29"/>
  <c r="J83" i="29"/>
  <c r="I86" i="29"/>
  <c r="J86" i="29"/>
  <c r="I84" i="29"/>
  <c r="J84" i="29"/>
  <c r="I85" i="29"/>
  <c r="J85" i="29"/>
  <c r="J12" i="29"/>
  <c r="D14" i="29"/>
  <c r="O12" i="29" s="1"/>
  <c r="O14" i="29" s="1"/>
  <c r="P84" i="29"/>
  <c r="J69" i="29"/>
  <c r="R69" i="29"/>
  <c r="K74" i="29"/>
  <c r="P85" i="29"/>
  <c r="L74" i="29"/>
  <c r="M74" i="29"/>
  <c r="W75" i="29"/>
  <c r="W74" i="29"/>
  <c r="G63" i="29"/>
  <c r="P88" i="29"/>
  <c r="P87" i="29"/>
  <c r="G67" i="29"/>
  <c r="L71" i="29"/>
  <c r="I67" i="29"/>
  <c r="M68" i="29"/>
  <c r="N71" i="29"/>
  <c r="K67" i="29"/>
  <c r="M70" i="29"/>
  <c r="O71" i="29"/>
  <c r="V67" i="29"/>
  <c r="L67" i="29"/>
  <c r="O70" i="29"/>
  <c r="C37" i="30"/>
  <c r="U67" i="29"/>
  <c r="S70" i="29"/>
  <c r="Q68" i="29"/>
  <c r="S68" i="29"/>
  <c r="Q71" i="29"/>
  <c r="O68" i="29"/>
  <c r="H68" i="29"/>
  <c r="T68" i="29"/>
  <c r="S71" i="29"/>
  <c r="K75" i="29"/>
  <c r="S67" i="29"/>
  <c r="I68" i="29"/>
  <c r="U68" i="29"/>
  <c r="T71" i="29"/>
  <c r="O74" i="29"/>
  <c r="L75" i="29"/>
  <c r="C42" i="30"/>
  <c r="T67" i="29"/>
  <c r="K68" i="29"/>
  <c r="V68" i="29"/>
  <c r="I71" i="29"/>
  <c r="U71" i="29"/>
  <c r="S74" i="29"/>
  <c r="U75" i="29"/>
  <c r="C28" i="30"/>
  <c r="Q60" i="29"/>
  <c r="L68" i="29"/>
  <c r="L70" i="29"/>
  <c r="K71" i="29"/>
  <c r="V71" i="29"/>
  <c r="U74" i="29"/>
  <c r="V75" i="29"/>
  <c r="W72" i="29"/>
  <c r="O72" i="29"/>
  <c r="P72" i="29"/>
  <c r="M75" i="29"/>
  <c r="H72" i="29"/>
  <c r="L66" i="29"/>
  <c r="N67" i="29"/>
  <c r="N68" i="29"/>
  <c r="W68" i="29"/>
  <c r="U70" i="29"/>
  <c r="K72" i="29"/>
  <c r="T72" i="29"/>
  <c r="J73" i="29"/>
  <c r="Q75" i="29"/>
  <c r="F27" i="30"/>
  <c r="N75" i="29"/>
  <c r="M67" i="29"/>
  <c r="T70" i="29"/>
  <c r="S72" i="29"/>
  <c r="O67" i="29"/>
  <c r="W70" i="29"/>
  <c r="L72" i="29"/>
  <c r="U72" i="29"/>
  <c r="R73" i="29"/>
  <c r="S75" i="29"/>
  <c r="D76" i="29"/>
  <c r="N72" i="29"/>
  <c r="G71" i="29"/>
  <c r="Q72" i="29"/>
  <c r="W67" i="29"/>
  <c r="I72" i="29"/>
  <c r="O75" i="29"/>
  <c r="Q67" i="29"/>
  <c r="P68" i="29"/>
  <c r="K70" i="29"/>
  <c r="M71" i="29"/>
  <c r="W71" i="29"/>
  <c r="M72" i="29"/>
  <c r="V72" i="29"/>
  <c r="T74" i="29"/>
  <c r="I75" i="29"/>
  <c r="T75" i="29"/>
  <c r="R61" i="29"/>
  <c r="S61" i="29"/>
  <c r="K69" i="29"/>
  <c r="S69" i="29"/>
  <c r="K73" i="29"/>
  <c r="S73" i="29"/>
  <c r="L61" i="29"/>
  <c r="T61" i="29"/>
  <c r="H67" i="29"/>
  <c r="P67" i="29"/>
  <c r="J68" i="29"/>
  <c r="L69" i="29"/>
  <c r="T69" i="29"/>
  <c r="N70" i="29"/>
  <c r="V70" i="29"/>
  <c r="H71" i="29"/>
  <c r="P71" i="29"/>
  <c r="J72" i="29"/>
  <c r="L73" i="29"/>
  <c r="T73" i="29"/>
  <c r="N74" i="29"/>
  <c r="V74" i="29"/>
  <c r="H75" i="29"/>
  <c r="P75" i="29"/>
  <c r="C33" i="30"/>
  <c r="C35" i="30"/>
  <c r="C40" i="30"/>
  <c r="M61" i="29"/>
  <c r="U61" i="29"/>
  <c r="G62" i="29"/>
  <c r="M69" i="29"/>
  <c r="U69" i="29"/>
  <c r="M73" i="29"/>
  <c r="U73" i="29"/>
  <c r="G74" i="29"/>
  <c r="C31" i="30"/>
  <c r="K61" i="29"/>
  <c r="N61" i="29"/>
  <c r="V61" i="29"/>
  <c r="J67" i="29"/>
  <c r="N69" i="29"/>
  <c r="V69" i="29"/>
  <c r="H70" i="29"/>
  <c r="P70" i="29"/>
  <c r="J71" i="29"/>
  <c r="N73" i="29"/>
  <c r="V73" i="29"/>
  <c r="H74" i="29"/>
  <c r="P74" i="29"/>
  <c r="J75" i="29"/>
  <c r="G40" i="29"/>
  <c r="G42" i="29" s="1"/>
  <c r="O61" i="29"/>
  <c r="W61" i="29"/>
  <c r="G65" i="29"/>
  <c r="Q66" i="29"/>
  <c r="G69" i="29"/>
  <c r="O69" i="29"/>
  <c r="W69" i="29"/>
  <c r="I70" i="29"/>
  <c r="Q70" i="29"/>
  <c r="O73" i="29"/>
  <c r="W73" i="29"/>
  <c r="I74" i="29"/>
  <c r="Q74" i="29"/>
  <c r="C27" i="30"/>
  <c r="P61" i="29"/>
  <c r="J62" i="29"/>
  <c r="H69" i="29"/>
  <c r="P69" i="29"/>
  <c r="J70" i="29"/>
  <c r="H73" i="29"/>
  <c r="P73" i="29"/>
  <c r="J74" i="29"/>
  <c r="J61" i="29"/>
  <c r="I61" i="29"/>
  <c r="I69" i="29"/>
  <c r="G72" i="29"/>
  <c r="I73" i="29"/>
  <c r="G74" i="28"/>
  <c r="G90" i="28" s="1"/>
  <c r="E90" i="28" s="1"/>
  <c r="O74" i="28"/>
  <c r="W74" i="28"/>
  <c r="N75" i="28"/>
  <c r="V75" i="28"/>
  <c r="M76" i="28"/>
  <c r="U76" i="28"/>
  <c r="L77" i="28"/>
  <c r="T77" i="28"/>
  <c r="K78" i="28"/>
  <c r="S78" i="28"/>
  <c r="J79" i="28"/>
  <c r="R79" i="28"/>
  <c r="I80" i="28"/>
  <c r="Q80" i="28"/>
  <c r="Y80" i="28"/>
  <c r="H81" i="28"/>
  <c r="P81" i="28"/>
  <c r="X81" i="28"/>
  <c r="O82" i="28"/>
  <c r="W82" i="28"/>
  <c r="N83" i="28"/>
  <c r="V83" i="28"/>
  <c r="M84" i="28"/>
  <c r="U84" i="28"/>
  <c r="L85" i="28"/>
  <c r="T85" i="28"/>
  <c r="K86" i="28"/>
  <c r="S86" i="28"/>
  <c r="J87" i="28"/>
  <c r="R87" i="28"/>
  <c r="I88" i="28"/>
  <c r="Q88" i="28"/>
  <c r="Y88" i="28"/>
  <c r="H89" i="28"/>
  <c r="P89" i="28"/>
  <c r="X89" i="28"/>
  <c r="H74" i="28"/>
  <c r="P74" i="28"/>
  <c r="X74" i="28"/>
  <c r="O75" i="28"/>
  <c r="W75" i="28"/>
  <c r="N76" i="28"/>
  <c r="V76" i="28"/>
  <c r="M77" i="28"/>
  <c r="U77" i="28"/>
  <c r="L78" i="28"/>
  <c r="T78" i="28"/>
  <c r="K79" i="28"/>
  <c r="S79" i="28"/>
  <c r="J80" i="28"/>
  <c r="R80" i="28"/>
  <c r="I81" i="28"/>
  <c r="Q81" i="28"/>
  <c r="Y81" i="28"/>
  <c r="H82" i="28"/>
  <c r="P82" i="28"/>
  <c r="X82" i="28"/>
  <c r="O83" i="28"/>
  <c r="W83" i="28"/>
  <c r="N84" i="28"/>
  <c r="V84" i="28"/>
  <c r="M85" i="28"/>
  <c r="U85" i="28"/>
  <c r="L86" i="28"/>
  <c r="T86" i="28"/>
  <c r="K87" i="28"/>
  <c r="S87" i="28"/>
  <c r="J88" i="28"/>
  <c r="R88" i="28"/>
  <c r="I89" i="28"/>
  <c r="Q89" i="28"/>
  <c r="Y89" i="28"/>
  <c r="M78" i="28"/>
  <c r="J81" i="28"/>
  <c r="R81" i="28"/>
  <c r="M86" i="28"/>
  <c r="U86" i="28"/>
  <c r="J89" i="28"/>
  <c r="R89" i="28"/>
  <c r="U78" i="28"/>
  <c r="J74" i="28"/>
  <c r="R74" i="28"/>
  <c r="I75" i="28"/>
  <c r="Q75" i="28"/>
  <c r="Y75" i="28"/>
  <c r="H76" i="28"/>
  <c r="P76" i="28"/>
  <c r="X76" i="28"/>
  <c r="O77" i="28"/>
  <c r="W77" i="28"/>
  <c r="N78" i="28"/>
  <c r="V78" i="28"/>
  <c r="M79" i="28"/>
  <c r="U79" i="28"/>
  <c r="L80" i="28"/>
  <c r="T80" i="28"/>
  <c r="K81" i="28"/>
  <c r="S81" i="28"/>
  <c r="J82" i="28"/>
  <c r="R82" i="28"/>
  <c r="I83" i="28"/>
  <c r="Q83" i="28"/>
  <c r="Y83" i="28"/>
  <c r="H84" i="28"/>
  <c r="P84" i="28"/>
  <c r="X84" i="28"/>
  <c r="O85" i="28"/>
  <c r="W85" i="28"/>
  <c r="N86" i="28"/>
  <c r="V86" i="28"/>
  <c r="M87" i="28"/>
  <c r="U87" i="28"/>
  <c r="L88" i="28"/>
  <c r="T88" i="28"/>
  <c r="K89" i="28"/>
  <c r="S89" i="28"/>
  <c r="K74" i="28"/>
  <c r="S74" i="28"/>
  <c r="J75" i="28"/>
  <c r="R75" i="28"/>
  <c r="I76" i="28"/>
  <c r="Q76" i="28"/>
  <c r="Y76" i="28"/>
  <c r="H77" i="28"/>
  <c r="P77" i="28"/>
  <c r="X77" i="28"/>
  <c r="O78" i="28"/>
  <c r="W78" i="28"/>
  <c r="N79" i="28"/>
  <c r="V79" i="28"/>
  <c r="M80" i="28"/>
  <c r="U80" i="28"/>
  <c r="L81" i="28"/>
  <c r="T81" i="28"/>
  <c r="K82" i="28"/>
  <c r="S82" i="28"/>
  <c r="J83" i="28"/>
  <c r="R83" i="28"/>
  <c r="I84" i="28"/>
  <c r="Q84" i="28"/>
  <c r="Y84" i="28"/>
  <c r="H85" i="28"/>
  <c r="P85" i="28"/>
  <c r="X85" i="28"/>
  <c r="O86" i="28"/>
  <c r="W86" i="28"/>
  <c r="N87" i="28"/>
  <c r="V87" i="28"/>
  <c r="M88" i="28"/>
  <c r="U88" i="28"/>
  <c r="L89" i="28"/>
  <c r="T89" i="28"/>
  <c r="L74" i="28"/>
  <c r="K75" i="28"/>
  <c r="J76" i="28"/>
  <c r="I77" i="28"/>
  <c r="Q77" i="28"/>
  <c r="Y77" i="28"/>
  <c r="H78" i="28"/>
  <c r="P78" i="28"/>
  <c r="X78" i="28"/>
  <c r="O79" i="28"/>
  <c r="N80" i="28"/>
  <c r="M81" i="28"/>
  <c r="U81" i="28"/>
  <c r="L82" i="28"/>
  <c r="K83" i="28"/>
  <c r="J84" i="28"/>
  <c r="I85" i="28"/>
  <c r="Q85" i="28"/>
  <c r="Y85" i="28"/>
  <c r="H86" i="28"/>
  <c r="P86" i="28"/>
  <c r="X86" i="28"/>
  <c r="O87" i="28"/>
  <c r="N88" i="28"/>
  <c r="M89" i="28"/>
  <c r="U89" i="28"/>
  <c r="J77" i="28"/>
  <c r="I78" i="28"/>
  <c r="Q78" i="28"/>
  <c r="Y78" i="28"/>
  <c r="N81" i="28"/>
  <c r="J85" i="28"/>
  <c r="I86" i="28"/>
  <c r="Q86" i="28"/>
  <c r="Y86" i="28"/>
  <c r="N89" i="28"/>
  <c r="J78" i="28"/>
  <c r="J86" i="28"/>
  <c r="S34" i="23"/>
  <c r="R34" i="23"/>
  <c r="Q34" i="23"/>
  <c r="P34" i="23"/>
  <c r="O34" i="23"/>
  <c r="N34" i="23"/>
  <c r="M34" i="23"/>
  <c r="L34" i="23"/>
  <c r="K34" i="23"/>
  <c r="J34" i="23"/>
  <c r="I34" i="23"/>
  <c r="H34" i="23"/>
  <c r="F34" i="23"/>
  <c r="S33" i="23"/>
  <c r="R33" i="23"/>
  <c r="Q33" i="23"/>
  <c r="P33" i="23"/>
  <c r="O33" i="23"/>
  <c r="N33" i="23"/>
  <c r="M33" i="23"/>
  <c r="L33" i="23"/>
  <c r="K33" i="23"/>
  <c r="J33" i="23"/>
  <c r="I33" i="23"/>
  <c r="H33" i="23"/>
  <c r="F33" i="23"/>
  <c r="S32" i="23"/>
  <c r="R32" i="23"/>
  <c r="Q32" i="23"/>
  <c r="P32" i="23"/>
  <c r="O32" i="23"/>
  <c r="N32" i="23"/>
  <c r="M32" i="23"/>
  <c r="L32" i="23"/>
  <c r="K32" i="23"/>
  <c r="J32" i="23"/>
  <c r="I32" i="23"/>
  <c r="H32" i="23"/>
  <c r="F32" i="23"/>
  <c r="S31" i="23"/>
  <c r="R31" i="23"/>
  <c r="Q31" i="23"/>
  <c r="P31" i="23"/>
  <c r="O31" i="23"/>
  <c r="N31" i="23"/>
  <c r="M31" i="23"/>
  <c r="L31" i="23"/>
  <c r="K31" i="23"/>
  <c r="J31" i="23"/>
  <c r="I31" i="23"/>
  <c r="H31" i="23"/>
  <c r="F31" i="23"/>
  <c r="S30" i="23"/>
  <c r="R30" i="23"/>
  <c r="Q30" i="23"/>
  <c r="P30" i="23"/>
  <c r="O30" i="23"/>
  <c r="N30" i="23"/>
  <c r="M30" i="23"/>
  <c r="L30" i="23"/>
  <c r="K30" i="23"/>
  <c r="J30" i="23"/>
  <c r="I30" i="23"/>
  <c r="H30" i="23"/>
  <c r="F30" i="23"/>
  <c r="S29" i="23"/>
  <c r="R29" i="23"/>
  <c r="Q29" i="23"/>
  <c r="P29" i="23"/>
  <c r="O29" i="23"/>
  <c r="N29" i="23"/>
  <c r="M29" i="23"/>
  <c r="L29" i="23"/>
  <c r="K29" i="23"/>
  <c r="J29" i="23"/>
  <c r="I29" i="23"/>
  <c r="H29" i="23"/>
  <c r="F29" i="23"/>
  <c r="S28" i="23"/>
  <c r="R28" i="23"/>
  <c r="Q28" i="23"/>
  <c r="P28" i="23"/>
  <c r="O28" i="23"/>
  <c r="N28" i="23"/>
  <c r="M28" i="23"/>
  <c r="L28" i="23"/>
  <c r="K28" i="23"/>
  <c r="J28" i="23"/>
  <c r="I28" i="23"/>
  <c r="H28" i="23"/>
  <c r="F28" i="23"/>
  <c r="S27" i="23"/>
  <c r="R27" i="23"/>
  <c r="Q27" i="23"/>
  <c r="P27" i="23"/>
  <c r="O27" i="23"/>
  <c r="N27" i="23"/>
  <c r="M27" i="23"/>
  <c r="L27" i="23"/>
  <c r="K27" i="23"/>
  <c r="J27" i="23"/>
  <c r="I27" i="23"/>
  <c r="H27" i="23"/>
  <c r="F27" i="23"/>
  <c r="S26" i="23"/>
  <c r="R26" i="23"/>
  <c r="Q26" i="23"/>
  <c r="P26" i="23"/>
  <c r="O26" i="23"/>
  <c r="N26" i="23"/>
  <c r="M26" i="23"/>
  <c r="L26" i="23"/>
  <c r="K26" i="23"/>
  <c r="J26" i="23"/>
  <c r="I26" i="23"/>
  <c r="H26" i="23"/>
  <c r="F26" i="23"/>
  <c r="S25" i="23"/>
  <c r="R25" i="23"/>
  <c r="Q25" i="23"/>
  <c r="P25" i="23"/>
  <c r="O25" i="23"/>
  <c r="N25" i="23"/>
  <c r="M25" i="23"/>
  <c r="L25" i="23"/>
  <c r="K25" i="23"/>
  <c r="J25" i="23"/>
  <c r="I25" i="23"/>
  <c r="H25" i="23"/>
  <c r="F25" i="23"/>
  <c r="S24" i="23"/>
  <c r="R24" i="23"/>
  <c r="Q24" i="23"/>
  <c r="P24" i="23"/>
  <c r="O24" i="23"/>
  <c r="N24" i="23"/>
  <c r="M24" i="23"/>
  <c r="L24" i="23"/>
  <c r="K24" i="23"/>
  <c r="J24" i="23"/>
  <c r="I24" i="23"/>
  <c r="H24" i="23"/>
  <c r="F24" i="23"/>
  <c r="S23" i="23"/>
  <c r="R23" i="23"/>
  <c r="Q23" i="23"/>
  <c r="P23" i="23"/>
  <c r="O23" i="23"/>
  <c r="N23" i="23"/>
  <c r="M23" i="23"/>
  <c r="L23" i="23"/>
  <c r="K23" i="23"/>
  <c r="J23" i="23"/>
  <c r="I23" i="23"/>
  <c r="H23" i="23"/>
  <c r="F23" i="23"/>
  <c r="S22" i="23"/>
  <c r="R22" i="23"/>
  <c r="Q22" i="23"/>
  <c r="P22" i="23"/>
  <c r="O22" i="23"/>
  <c r="N22" i="23"/>
  <c r="M22" i="23"/>
  <c r="L22" i="23"/>
  <c r="K22" i="23"/>
  <c r="J22" i="23"/>
  <c r="I22" i="23"/>
  <c r="H22" i="23"/>
  <c r="F22" i="23"/>
  <c r="S21" i="23"/>
  <c r="R21" i="23"/>
  <c r="Q21" i="23"/>
  <c r="P21" i="23"/>
  <c r="O21" i="23"/>
  <c r="N21" i="23"/>
  <c r="M21" i="23"/>
  <c r="L21" i="23"/>
  <c r="K21" i="23"/>
  <c r="J21" i="23"/>
  <c r="I21" i="23"/>
  <c r="H21" i="23"/>
  <c r="F21" i="23"/>
  <c r="S20" i="23"/>
  <c r="R20" i="23"/>
  <c r="Q20" i="23"/>
  <c r="P20" i="23"/>
  <c r="O20" i="23"/>
  <c r="N20" i="23"/>
  <c r="M20" i="23"/>
  <c r="L20" i="23"/>
  <c r="K20" i="23"/>
  <c r="J20" i="23"/>
  <c r="I20" i="23"/>
  <c r="H20" i="23"/>
  <c r="F20" i="23"/>
  <c r="S19" i="23"/>
  <c r="R19" i="23"/>
  <c r="Q19" i="23"/>
  <c r="P19" i="23"/>
  <c r="O19" i="23"/>
  <c r="N19" i="23"/>
  <c r="M19" i="23"/>
  <c r="L19" i="23"/>
  <c r="K19" i="23"/>
  <c r="J19" i="23"/>
  <c r="I19" i="23"/>
  <c r="H19" i="23"/>
  <c r="F19" i="23"/>
  <c r="V31" i="25"/>
  <c r="U31" i="25"/>
  <c r="T31" i="25"/>
  <c r="S31" i="25"/>
  <c r="R31" i="25"/>
  <c r="Q31" i="25"/>
  <c r="P31" i="25"/>
  <c r="O31" i="25"/>
  <c r="N31" i="25"/>
  <c r="M31" i="25"/>
  <c r="L31" i="25"/>
  <c r="K31" i="25"/>
  <c r="J31" i="25"/>
  <c r="I31" i="25"/>
  <c r="H31" i="25"/>
  <c r="F31" i="25"/>
  <c r="V30" i="25"/>
  <c r="U30" i="25"/>
  <c r="T30" i="25"/>
  <c r="S30" i="25"/>
  <c r="R30" i="25"/>
  <c r="Q30" i="25"/>
  <c r="P30" i="25"/>
  <c r="O30" i="25"/>
  <c r="N30" i="25"/>
  <c r="M30" i="25"/>
  <c r="L30" i="25"/>
  <c r="K30" i="25"/>
  <c r="J30" i="25"/>
  <c r="I30" i="25"/>
  <c r="H30" i="25"/>
  <c r="F30" i="25"/>
  <c r="V29" i="25"/>
  <c r="U29" i="25"/>
  <c r="T29" i="25"/>
  <c r="S29" i="25"/>
  <c r="R29" i="25"/>
  <c r="Q29" i="25"/>
  <c r="P29" i="25"/>
  <c r="O29" i="25"/>
  <c r="N29" i="25"/>
  <c r="M29" i="25"/>
  <c r="L29" i="25"/>
  <c r="K29" i="25"/>
  <c r="J29" i="25"/>
  <c r="I29" i="25"/>
  <c r="H29" i="25"/>
  <c r="F29" i="25"/>
  <c r="V28" i="25"/>
  <c r="U28" i="25"/>
  <c r="T28" i="25"/>
  <c r="S28" i="25"/>
  <c r="R28" i="25"/>
  <c r="Q28" i="25"/>
  <c r="P28" i="25"/>
  <c r="O28" i="25"/>
  <c r="N28" i="25"/>
  <c r="M28" i="25"/>
  <c r="L28" i="25"/>
  <c r="K28" i="25"/>
  <c r="J28" i="25"/>
  <c r="I28" i="25"/>
  <c r="H28" i="25"/>
  <c r="F28" i="25"/>
  <c r="V27" i="25"/>
  <c r="U27" i="25"/>
  <c r="T27" i="25"/>
  <c r="S27" i="25"/>
  <c r="R27" i="25"/>
  <c r="Q27" i="25"/>
  <c r="P27" i="25"/>
  <c r="O27" i="25"/>
  <c r="N27" i="25"/>
  <c r="M27" i="25"/>
  <c r="L27" i="25"/>
  <c r="K27" i="25"/>
  <c r="J27" i="25"/>
  <c r="I27" i="25"/>
  <c r="H27" i="25"/>
  <c r="F27" i="25"/>
  <c r="V26" i="25"/>
  <c r="U26" i="25"/>
  <c r="T26" i="25"/>
  <c r="S26" i="25"/>
  <c r="R26" i="25"/>
  <c r="Q26" i="25"/>
  <c r="P26" i="25"/>
  <c r="O26" i="25"/>
  <c r="N26" i="25"/>
  <c r="M26" i="25"/>
  <c r="L26" i="25"/>
  <c r="K26" i="25"/>
  <c r="J26" i="25"/>
  <c r="I26" i="25"/>
  <c r="H26" i="25"/>
  <c r="F26" i="25"/>
  <c r="V25" i="25"/>
  <c r="U25" i="25"/>
  <c r="T25" i="25"/>
  <c r="S25" i="25"/>
  <c r="R25" i="25"/>
  <c r="Q25" i="25"/>
  <c r="P25" i="25"/>
  <c r="O25" i="25"/>
  <c r="N25" i="25"/>
  <c r="M25" i="25"/>
  <c r="L25" i="25"/>
  <c r="K25" i="25"/>
  <c r="J25" i="25"/>
  <c r="I25" i="25"/>
  <c r="H25" i="25"/>
  <c r="F25" i="25"/>
  <c r="V24" i="25"/>
  <c r="U24" i="25"/>
  <c r="T24" i="25"/>
  <c r="S24" i="25"/>
  <c r="R24" i="25"/>
  <c r="Q24" i="25"/>
  <c r="P24" i="25"/>
  <c r="O24" i="25"/>
  <c r="N24" i="25"/>
  <c r="M24" i="25"/>
  <c r="L24" i="25"/>
  <c r="K24" i="25"/>
  <c r="J24" i="25"/>
  <c r="I24" i="25"/>
  <c r="H24" i="25"/>
  <c r="F24" i="25"/>
  <c r="V23" i="25"/>
  <c r="U23" i="25"/>
  <c r="T23" i="25"/>
  <c r="S23" i="25"/>
  <c r="R23" i="25"/>
  <c r="Q23" i="25"/>
  <c r="P23" i="25"/>
  <c r="O23" i="25"/>
  <c r="N23" i="25"/>
  <c r="M23" i="25"/>
  <c r="L23" i="25"/>
  <c r="K23" i="25"/>
  <c r="J23" i="25"/>
  <c r="I23" i="25"/>
  <c r="H23" i="25"/>
  <c r="F23" i="25"/>
  <c r="V22" i="25"/>
  <c r="U22" i="25"/>
  <c r="T22" i="25"/>
  <c r="S22" i="25"/>
  <c r="R22" i="25"/>
  <c r="Q22" i="25"/>
  <c r="P22" i="25"/>
  <c r="O22" i="25"/>
  <c r="N22" i="25"/>
  <c r="M22" i="25"/>
  <c r="L22" i="25"/>
  <c r="K22" i="25"/>
  <c r="J22" i="25"/>
  <c r="I22" i="25"/>
  <c r="H22" i="25"/>
  <c r="F22" i="25"/>
  <c r="V21" i="25"/>
  <c r="U21" i="25"/>
  <c r="T21" i="25"/>
  <c r="S21" i="25"/>
  <c r="R21" i="25"/>
  <c r="Q21" i="25"/>
  <c r="P21" i="25"/>
  <c r="O21" i="25"/>
  <c r="N21" i="25"/>
  <c r="M21" i="25"/>
  <c r="L21" i="25"/>
  <c r="K21" i="25"/>
  <c r="J21" i="25"/>
  <c r="I21" i="25"/>
  <c r="H21" i="25"/>
  <c r="F21" i="25"/>
  <c r="V20" i="25"/>
  <c r="U20" i="25"/>
  <c r="T20" i="25"/>
  <c r="S20" i="25"/>
  <c r="R20" i="25"/>
  <c r="Q20" i="25"/>
  <c r="P20" i="25"/>
  <c r="O20" i="25"/>
  <c r="N20" i="25"/>
  <c r="M20" i="25"/>
  <c r="L20" i="25"/>
  <c r="K20" i="25"/>
  <c r="J20" i="25"/>
  <c r="I20" i="25"/>
  <c r="H20" i="25"/>
  <c r="F20" i="25"/>
  <c r="V19" i="25"/>
  <c r="U19" i="25"/>
  <c r="T19" i="25"/>
  <c r="S19" i="25"/>
  <c r="R19" i="25"/>
  <c r="Q19" i="25"/>
  <c r="P19" i="25"/>
  <c r="O19" i="25"/>
  <c r="N19" i="25"/>
  <c r="M19" i="25"/>
  <c r="L19" i="25"/>
  <c r="K19" i="25"/>
  <c r="J19" i="25"/>
  <c r="I19" i="25"/>
  <c r="H19" i="25"/>
  <c r="F19" i="25"/>
  <c r="V18" i="25"/>
  <c r="U18" i="25"/>
  <c r="T18" i="25"/>
  <c r="S18" i="25"/>
  <c r="R18" i="25"/>
  <c r="Q18" i="25"/>
  <c r="P18" i="25"/>
  <c r="O18" i="25"/>
  <c r="N18" i="25"/>
  <c r="M18" i="25"/>
  <c r="L18" i="25"/>
  <c r="K18" i="25"/>
  <c r="J18" i="25"/>
  <c r="I18" i="25"/>
  <c r="H18" i="25"/>
  <c r="F18" i="25"/>
  <c r="V17" i="25"/>
  <c r="U17" i="25"/>
  <c r="T17" i="25"/>
  <c r="S17" i="25"/>
  <c r="R17" i="25"/>
  <c r="Q17" i="25"/>
  <c r="P17" i="25"/>
  <c r="O17" i="25"/>
  <c r="N17" i="25"/>
  <c r="M17" i="25"/>
  <c r="L17" i="25"/>
  <c r="K17" i="25"/>
  <c r="J17" i="25"/>
  <c r="I17" i="25"/>
  <c r="H17" i="25"/>
  <c r="F17" i="25"/>
  <c r="V16" i="25"/>
  <c r="U16" i="25"/>
  <c r="T16" i="25"/>
  <c r="S16" i="25"/>
  <c r="R16" i="25"/>
  <c r="Q16" i="25"/>
  <c r="P16" i="25"/>
  <c r="O16" i="25"/>
  <c r="N16" i="25"/>
  <c r="M16" i="25"/>
  <c r="L16" i="25"/>
  <c r="K16" i="25"/>
  <c r="J16" i="25"/>
  <c r="I16" i="25"/>
  <c r="H16" i="25"/>
  <c r="F16" i="25"/>
  <c r="V33" i="17"/>
  <c r="U33" i="17"/>
  <c r="T33" i="17"/>
  <c r="S33" i="17"/>
  <c r="R33" i="17"/>
  <c r="Q33" i="17"/>
  <c r="P33" i="17"/>
  <c r="O33" i="17"/>
  <c r="N33" i="17"/>
  <c r="M33" i="17"/>
  <c r="L33" i="17"/>
  <c r="K33" i="17"/>
  <c r="J33" i="17"/>
  <c r="I33" i="17"/>
  <c r="H33" i="17"/>
  <c r="F33" i="17"/>
  <c r="V32" i="17"/>
  <c r="U32" i="17"/>
  <c r="T32" i="17"/>
  <c r="S32" i="17"/>
  <c r="R32" i="17"/>
  <c r="Q32" i="17"/>
  <c r="P32" i="17"/>
  <c r="O32" i="17"/>
  <c r="N32" i="17"/>
  <c r="M32" i="17"/>
  <c r="L32" i="17"/>
  <c r="K32" i="17"/>
  <c r="J32" i="17"/>
  <c r="I32" i="17"/>
  <c r="H32" i="17"/>
  <c r="F32" i="17"/>
  <c r="V31" i="17"/>
  <c r="U31" i="17"/>
  <c r="T31" i="17"/>
  <c r="S31" i="17"/>
  <c r="R31" i="17"/>
  <c r="Q31" i="17"/>
  <c r="P31" i="17"/>
  <c r="O31" i="17"/>
  <c r="N31" i="17"/>
  <c r="M31" i="17"/>
  <c r="L31" i="17"/>
  <c r="K31" i="17"/>
  <c r="J31" i="17"/>
  <c r="I31" i="17"/>
  <c r="H31" i="17"/>
  <c r="F31" i="17"/>
  <c r="V30" i="17"/>
  <c r="U30" i="17"/>
  <c r="T30" i="17"/>
  <c r="S30" i="17"/>
  <c r="R30" i="17"/>
  <c r="Q30" i="17"/>
  <c r="P30" i="17"/>
  <c r="O30" i="17"/>
  <c r="N30" i="17"/>
  <c r="M30" i="17"/>
  <c r="L30" i="17"/>
  <c r="K30" i="17"/>
  <c r="J30" i="17"/>
  <c r="I30" i="17"/>
  <c r="H30" i="17"/>
  <c r="F30" i="17"/>
  <c r="V29" i="17"/>
  <c r="U29" i="17"/>
  <c r="T29" i="17"/>
  <c r="S29" i="17"/>
  <c r="R29" i="17"/>
  <c r="Q29" i="17"/>
  <c r="P29" i="17"/>
  <c r="O29" i="17"/>
  <c r="N29" i="17"/>
  <c r="M29" i="17"/>
  <c r="L29" i="17"/>
  <c r="K29" i="17"/>
  <c r="J29" i="17"/>
  <c r="I29" i="17"/>
  <c r="H29" i="17"/>
  <c r="F29" i="17"/>
  <c r="V28" i="17"/>
  <c r="U28" i="17"/>
  <c r="T28" i="17"/>
  <c r="S28" i="17"/>
  <c r="R28" i="17"/>
  <c r="Q28" i="17"/>
  <c r="P28" i="17"/>
  <c r="O28" i="17"/>
  <c r="N28" i="17"/>
  <c r="M28" i="17"/>
  <c r="L28" i="17"/>
  <c r="K28" i="17"/>
  <c r="J28" i="17"/>
  <c r="I28" i="17"/>
  <c r="H28" i="17"/>
  <c r="F28" i="17"/>
  <c r="V27" i="17"/>
  <c r="U27" i="17"/>
  <c r="T27" i="17"/>
  <c r="S27" i="17"/>
  <c r="R27" i="17"/>
  <c r="Q27" i="17"/>
  <c r="P27" i="17"/>
  <c r="O27" i="17"/>
  <c r="N27" i="17"/>
  <c r="M27" i="17"/>
  <c r="L27" i="17"/>
  <c r="K27" i="17"/>
  <c r="J27" i="17"/>
  <c r="I27" i="17"/>
  <c r="H27" i="17"/>
  <c r="F27" i="17"/>
  <c r="V26" i="17"/>
  <c r="U26" i="17"/>
  <c r="T26" i="17"/>
  <c r="S26" i="17"/>
  <c r="R26" i="17"/>
  <c r="Q26" i="17"/>
  <c r="P26" i="17"/>
  <c r="O26" i="17"/>
  <c r="N26" i="17"/>
  <c r="M26" i="17"/>
  <c r="L26" i="17"/>
  <c r="K26" i="17"/>
  <c r="J26" i="17"/>
  <c r="I26" i="17"/>
  <c r="H26" i="17"/>
  <c r="F26" i="17"/>
  <c r="V25" i="17"/>
  <c r="U25" i="17"/>
  <c r="T25" i="17"/>
  <c r="S25" i="17"/>
  <c r="R25" i="17"/>
  <c r="Q25" i="17"/>
  <c r="P25" i="17"/>
  <c r="O25" i="17"/>
  <c r="N25" i="17"/>
  <c r="M25" i="17"/>
  <c r="L25" i="17"/>
  <c r="K25" i="17"/>
  <c r="J25" i="17"/>
  <c r="I25" i="17"/>
  <c r="H25" i="17"/>
  <c r="F25" i="17"/>
  <c r="V24" i="17"/>
  <c r="U24" i="17"/>
  <c r="T24" i="17"/>
  <c r="S24" i="17"/>
  <c r="R24" i="17"/>
  <c r="Q24" i="17"/>
  <c r="P24" i="17"/>
  <c r="O24" i="17"/>
  <c r="N24" i="17"/>
  <c r="M24" i="17"/>
  <c r="L24" i="17"/>
  <c r="K24" i="17"/>
  <c r="J24" i="17"/>
  <c r="I24" i="17"/>
  <c r="H24" i="17"/>
  <c r="F24" i="17"/>
  <c r="V23" i="17"/>
  <c r="U23" i="17"/>
  <c r="T23" i="17"/>
  <c r="S23" i="17"/>
  <c r="R23" i="17"/>
  <c r="Q23" i="17"/>
  <c r="P23" i="17"/>
  <c r="O23" i="17"/>
  <c r="N23" i="17"/>
  <c r="M23" i="17"/>
  <c r="L23" i="17"/>
  <c r="K23" i="17"/>
  <c r="J23" i="17"/>
  <c r="I23" i="17"/>
  <c r="H23" i="17"/>
  <c r="F23" i="17"/>
  <c r="V22" i="17"/>
  <c r="U22" i="17"/>
  <c r="T22" i="17"/>
  <c r="S22" i="17"/>
  <c r="R22" i="17"/>
  <c r="Q22" i="17"/>
  <c r="P22" i="17"/>
  <c r="O22" i="17"/>
  <c r="N22" i="17"/>
  <c r="M22" i="17"/>
  <c r="L22" i="17"/>
  <c r="K22" i="17"/>
  <c r="J22" i="17"/>
  <c r="I22" i="17"/>
  <c r="H22" i="17"/>
  <c r="F22" i="17"/>
  <c r="V21" i="17"/>
  <c r="U21" i="17"/>
  <c r="T21" i="17"/>
  <c r="S21" i="17"/>
  <c r="R21" i="17"/>
  <c r="Q21" i="17"/>
  <c r="P21" i="17"/>
  <c r="O21" i="17"/>
  <c r="N21" i="17"/>
  <c r="M21" i="17"/>
  <c r="L21" i="17"/>
  <c r="K21" i="17"/>
  <c r="J21" i="17"/>
  <c r="I21" i="17"/>
  <c r="H21" i="17"/>
  <c r="F21" i="17"/>
  <c r="V20" i="17"/>
  <c r="U20" i="17"/>
  <c r="T20" i="17"/>
  <c r="S20" i="17"/>
  <c r="R20" i="17"/>
  <c r="Q20" i="17"/>
  <c r="P20" i="17"/>
  <c r="O20" i="17"/>
  <c r="N20" i="17"/>
  <c r="M20" i="17"/>
  <c r="L20" i="17"/>
  <c r="K20" i="17"/>
  <c r="J20" i="17"/>
  <c r="I20" i="17"/>
  <c r="H20" i="17"/>
  <c r="F20" i="17"/>
  <c r="V19" i="17"/>
  <c r="U19" i="17"/>
  <c r="T19" i="17"/>
  <c r="S19" i="17"/>
  <c r="R19" i="17"/>
  <c r="Q19" i="17"/>
  <c r="P19" i="17"/>
  <c r="O19" i="17"/>
  <c r="N19" i="17"/>
  <c r="M19" i="17"/>
  <c r="L19" i="17"/>
  <c r="K19" i="17"/>
  <c r="J19" i="17"/>
  <c r="I19" i="17"/>
  <c r="H19" i="17"/>
  <c r="F19" i="17"/>
  <c r="V18" i="17"/>
  <c r="U18" i="17"/>
  <c r="T18" i="17"/>
  <c r="S18" i="17"/>
  <c r="R18" i="17"/>
  <c r="Q18" i="17"/>
  <c r="P18" i="17"/>
  <c r="O18" i="17"/>
  <c r="N18" i="17"/>
  <c r="M18" i="17"/>
  <c r="L18" i="17"/>
  <c r="K18" i="17"/>
  <c r="J18" i="17"/>
  <c r="I18" i="17"/>
  <c r="H18" i="17"/>
  <c r="F18" i="17"/>
  <c r="V34" i="11"/>
  <c r="U34" i="11"/>
  <c r="T34" i="11"/>
  <c r="S34" i="11"/>
  <c r="R34" i="11"/>
  <c r="Q34" i="11"/>
  <c r="P34" i="11"/>
  <c r="O34" i="11"/>
  <c r="N34" i="11"/>
  <c r="M34" i="11"/>
  <c r="L34" i="11"/>
  <c r="K34" i="11"/>
  <c r="J34" i="11"/>
  <c r="I34" i="11"/>
  <c r="H34" i="11"/>
  <c r="F34" i="11"/>
  <c r="V33" i="11"/>
  <c r="U33" i="11"/>
  <c r="T33" i="11"/>
  <c r="S33" i="11"/>
  <c r="R33" i="11"/>
  <c r="Q33" i="11"/>
  <c r="P33" i="11"/>
  <c r="O33" i="11"/>
  <c r="N33" i="11"/>
  <c r="M33" i="11"/>
  <c r="L33" i="11"/>
  <c r="K33" i="11"/>
  <c r="J33" i="11"/>
  <c r="I33" i="11"/>
  <c r="H33" i="11"/>
  <c r="F33" i="11"/>
  <c r="V32" i="11"/>
  <c r="U32" i="11"/>
  <c r="T32" i="11"/>
  <c r="S32" i="11"/>
  <c r="R32" i="11"/>
  <c r="Q32" i="11"/>
  <c r="P32" i="11"/>
  <c r="O32" i="11"/>
  <c r="N32" i="11"/>
  <c r="M32" i="11"/>
  <c r="L32" i="11"/>
  <c r="K32" i="11"/>
  <c r="J32" i="11"/>
  <c r="I32" i="11"/>
  <c r="H32" i="11"/>
  <c r="F32" i="11"/>
  <c r="V31" i="11"/>
  <c r="U31" i="11"/>
  <c r="T31" i="11"/>
  <c r="S31" i="11"/>
  <c r="R31" i="11"/>
  <c r="Q31" i="11"/>
  <c r="P31" i="11"/>
  <c r="O31" i="11"/>
  <c r="N31" i="11"/>
  <c r="M31" i="11"/>
  <c r="L31" i="11"/>
  <c r="K31" i="11"/>
  <c r="J31" i="11"/>
  <c r="I31" i="11"/>
  <c r="H31" i="11"/>
  <c r="F31" i="11"/>
  <c r="V30" i="11"/>
  <c r="U30" i="11"/>
  <c r="T30" i="11"/>
  <c r="S30" i="11"/>
  <c r="R30" i="11"/>
  <c r="Q30" i="11"/>
  <c r="P30" i="11"/>
  <c r="O30" i="11"/>
  <c r="N30" i="11"/>
  <c r="M30" i="11"/>
  <c r="L30" i="11"/>
  <c r="K30" i="11"/>
  <c r="J30" i="11"/>
  <c r="I30" i="11"/>
  <c r="H30" i="11"/>
  <c r="F30" i="11"/>
  <c r="V29" i="11"/>
  <c r="U29" i="11"/>
  <c r="T29" i="11"/>
  <c r="S29" i="11"/>
  <c r="R29" i="11"/>
  <c r="Q29" i="11"/>
  <c r="P29" i="11"/>
  <c r="O29" i="11"/>
  <c r="N29" i="11"/>
  <c r="M29" i="11"/>
  <c r="L29" i="11"/>
  <c r="K29" i="11"/>
  <c r="J29" i="11"/>
  <c r="I29" i="11"/>
  <c r="H29" i="11"/>
  <c r="F29" i="11"/>
  <c r="V28" i="11"/>
  <c r="U28" i="11"/>
  <c r="T28" i="11"/>
  <c r="S28" i="11"/>
  <c r="R28" i="11"/>
  <c r="Q28" i="11"/>
  <c r="P28" i="11"/>
  <c r="O28" i="11"/>
  <c r="N28" i="11"/>
  <c r="M28" i="11"/>
  <c r="L28" i="11"/>
  <c r="K28" i="11"/>
  <c r="J28" i="11"/>
  <c r="I28" i="11"/>
  <c r="H28" i="11"/>
  <c r="F28" i="11"/>
  <c r="V27" i="11"/>
  <c r="U27" i="11"/>
  <c r="T27" i="11"/>
  <c r="S27" i="11"/>
  <c r="R27" i="11"/>
  <c r="Q27" i="11"/>
  <c r="P27" i="11"/>
  <c r="O27" i="11"/>
  <c r="N27" i="11"/>
  <c r="M27" i="11"/>
  <c r="L27" i="11"/>
  <c r="K27" i="11"/>
  <c r="J27" i="11"/>
  <c r="I27" i="11"/>
  <c r="H27" i="11"/>
  <c r="F27" i="11"/>
  <c r="V26" i="11"/>
  <c r="U26" i="11"/>
  <c r="T26" i="11"/>
  <c r="S26" i="11"/>
  <c r="R26" i="11"/>
  <c r="Q26" i="11"/>
  <c r="P26" i="11"/>
  <c r="O26" i="11"/>
  <c r="N26" i="11"/>
  <c r="M26" i="11"/>
  <c r="L26" i="11"/>
  <c r="K26" i="11"/>
  <c r="J26" i="11"/>
  <c r="I26" i="11"/>
  <c r="H26" i="11"/>
  <c r="F26" i="11"/>
  <c r="V25" i="11"/>
  <c r="U25" i="11"/>
  <c r="T25" i="11"/>
  <c r="S25" i="11"/>
  <c r="R25" i="11"/>
  <c r="Q25" i="11"/>
  <c r="P25" i="11"/>
  <c r="O25" i="11"/>
  <c r="N25" i="11"/>
  <c r="M25" i="11"/>
  <c r="L25" i="11"/>
  <c r="K25" i="11"/>
  <c r="J25" i="11"/>
  <c r="I25" i="11"/>
  <c r="H25" i="11"/>
  <c r="F25" i="11"/>
  <c r="V24" i="11"/>
  <c r="U24" i="11"/>
  <c r="T24" i="11"/>
  <c r="S24" i="11"/>
  <c r="R24" i="11"/>
  <c r="Q24" i="11"/>
  <c r="P24" i="11"/>
  <c r="O24" i="11"/>
  <c r="N24" i="11"/>
  <c r="M24" i="11"/>
  <c r="L24" i="11"/>
  <c r="K24" i="11"/>
  <c r="J24" i="11"/>
  <c r="I24" i="11"/>
  <c r="H24" i="11"/>
  <c r="F24" i="11"/>
  <c r="V23" i="11"/>
  <c r="U23" i="11"/>
  <c r="T23" i="11"/>
  <c r="S23" i="11"/>
  <c r="R23" i="11"/>
  <c r="Q23" i="11"/>
  <c r="P23" i="11"/>
  <c r="O23" i="11"/>
  <c r="N23" i="11"/>
  <c r="M23" i="11"/>
  <c r="L23" i="11"/>
  <c r="K23" i="11"/>
  <c r="J23" i="11"/>
  <c r="I23" i="11"/>
  <c r="H23" i="11"/>
  <c r="F23" i="11"/>
  <c r="V22" i="11"/>
  <c r="U22" i="11"/>
  <c r="T22" i="11"/>
  <c r="S22" i="11"/>
  <c r="R22" i="11"/>
  <c r="Q22" i="11"/>
  <c r="P22" i="11"/>
  <c r="O22" i="11"/>
  <c r="N22" i="11"/>
  <c r="M22" i="11"/>
  <c r="L22" i="11"/>
  <c r="K22" i="11"/>
  <c r="J22" i="11"/>
  <c r="I22" i="11"/>
  <c r="H22" i="11"/>
  <c r="F22" i="11"/>
  <c r="V21" i="11"/>
  <c r="U21" i="11"/>
  <c r="T21" i="11"/>
  <c r="S21" i="11"/>
  <c r="R21" i="11"/>
  <c r="Q21" i="11"/>
  <c r="P21" i="11"/>
  <c r="O21" i="11"/>
  <c r="N21" i="11"/>
  <c r="M21" i="11"/>
  <c r="L21" i="11"/>
  <c r="K21" i="11"/>
  <c r="J21" i="11"/>
  <c r="I21" i="11"/>
  <c r="H21" i="11"/>
  <c r="F21" i="11"/>
  <c r="V20" i="11"/>
  <c r="U20" i="11"/>
  <c r="T20" i="11"/>
  <c r="S20" i="11"/>
  <c r="R20" i="11"/>
  <c r="Q20" i="11"/>
  <c r="P20" i="11"/>
  <c r="O20" i="11"/>
  <c r="N20" i="11"/>
  <c r="M20" i="11"/>
  <c r="L20" i="11"/>
  <c r="K20" i="11"/>
  <c r="J20" i="11"/>
  <c r="I20" i="11"/>
  <c r="H20" i="11"/>
  <c r="F20" i="11"/>
  <c r="V19" i="11"/>
  <c r="U19" i="11"/>
  <c r="T19" i="11"/>
  <c r="S19" i="11"/>
  <c r="R19" i="11"/>
  <c r="Q19" i="11"/>
  <c r="P19" i="11"/>
  <c r="O19" i="11"/>
  <c r="N19" i="11"/>
  <c r="M19" i="11"/>
  <c r="L19" i="11"/>
  <c r="K19" i="11"/>
  <c r="J19" i="11"/>
  <c r="I19" i="11"/>
  <c r="H19" i="11"/>
  <c r="F19" i="11"/>
  <c r="F19" i="19"/>
  <c r="G19" i="19"/>
  <c r="H19" i="19"/>
  <c r="I19" i="19"/>
  <c r="J19" i="19"/>
  <c r="K19" i="19"/>
  <c r="L19" i="19"/>
  <c r="M19" i="19"/>
  <c r="N19" i="19"/>
  <c r="O19" i="19"/>
  <c r="P19" i="19"/>
  <c r="Q19" i="19"/>
  <c r="R19" i="19"/>
  <c r="S19" i="19"/>
  <c r="T19" i="19"/>
  <c r="U19" i="19"/>
  <c r="V19" i="19"/>
  <c r="W19" i="19"/>
  <c r="F20" i="19"/>
  <c r="G20" i="19"/>
  <c r="H20" i="19"/>
  <c r="I20" i="19"/>
  <c r="J20" i="19"/>
  <c r="K20" i="19"/>
  <c r="L20" i="19"/>
  <c r="M20" i="19"/>
  <c r="N20" i="19"/>
  <c r="O20" i="19"/>
  <c r="P20" i="19"/>
  <c r="Q20" i="19"/>
  <c r="R20" i="19"/>
  <c r="S20" i="19"/>
  <c r="T20" i="19"/>
  <c r="U20" i="19"/>
  <c r="V20" i="19"/>
  <c r="W20" i="19"/>
  <c r="F21" i="19"/>
  <c r="G21" i="19"/>
  <c r="H21" i="19"/>
  <c r="I21" i="19"/>
  <c r="J21" i="19"/>
  <c r="K21" i="19"/>
  <c r="L21" i="19"/>
  <c r="M21" i="19"/>
  <c r="N21" i="19"/>
  <c r="O21" i="19"/>
  <c r="P21" i="19"/>
  <c r="Q21" i="19"/>
  <c r="R21" i="19"/>
  <c r="S21" i="19"/>
  <c r="T21" i="19"/>
  <c r="U21" i="19"/>
  <c r="V21" i="19"/>
  <c r="W21" i="19"/>
  <c r="F22" i="19"/>
  <c r="G22" i="19"/>
  <c r="H22" i="19"/>
  <c r="I22" i="19"/>
  <c r="J22" i="19"/>
  <c r="K22" i="19"/>
  <c r="L22" i="19"/>
  <c r="M22" i="19"/>
  <c r="N22" i="19"/>
  <c r="O22" i="19"/>
  <c r="P22" i="19"/>
  <c r="Q22" i="19"/>
  <c r="R22" i="19"/>
  <c r="S22" i="19"/>
  <c r="T22" i="19"/>
  <c r="U22" i="19"/>
  <c r="V22" i="19"/>
  <c r="W22" i="19"/>
  <c r="F23" i="19"/>
  <c r="G23" i="19"/>
  <c r="H23" i="19"/>
  <c r="I23" i="19"/>
  <c r="J23" i="19"/>
  <c r="K23" i="19"/>
  <c r="L23" i="19"/>
  <c r="M23" i="19"/>
  <c r="N23" i="19"/>
  <c r="O23" i="19"/>
  <c r="P23" i="19"/>
  <c r="Q23" i="19"/>
  <c r="R23" i="19"/>
  <c r="S23" i="19"/>
  <c r="T23" i="19"/>
  <c r="U23" i="19"/>
  <c r="V23" i="19"/>
  <c r="W23" i="19"/>
  <c r="F24" i="19"/>
  <c r="G24" i="19"/>
  <c r="H24" i="19"/>
  <c r="I24" i="19"/>
  <c r="J24" i="19"/>
  <c r="K24" i="19"/>
  <c r="L24" i="19"/>
  <c r="M24" i="19"/>
  <c r="N24" i="19"/>
  <c r="O24" i="19"/>
  <c r="P24" i="19"/>
  <c r="Q24" i="19"/>
  <c r="R24" i="19"/>
  <c r="S24" i="19"/>
  <c r="T24" i="19"/>
  <c r="U24" i="19"/>
  <c r="V24" i="19"/>
  <c r="W24" i="19"/>
  <c r="F25" i="19"/>
  <c r="G25" i="19"/>
  <c r="H25" i="19"/>
  <c r="I25" i="19"/>
  <c r="J25" i="19"/>
  <c r="K25" i="19"/>
  <c r="L25" i="19"/>
  <c r="M25" i="19"/>
  <c r="N25" i="19"/>
  <c r="O25" i="19"/>
  <c r="P25" i="19"/>
  <c r="Q25" i="19"/>
  <c r="R25" i="19"/>
  <c r="S25" i="19"/>
  <c r="T25" i="19"/>
  <c r="U25" i="19"/>
  <c r="V25" i="19"/>
  <c r="W25" i="19"/>
  <c r="F26" i="19"/>
  <c r="G26" i="19"/>
  <c r="H26" i="19"/>
  <c r="I26" i="19"/>
  <c r="J26" i="19"/>
  <c r="K26" i="19"/>
  <c r="L26" i="19"/>
  <c r="M26" i="19"/>
  <c r="N26" i="19"/>
  <c r="O26" i="19"/>
  <c r="P26" i="19"/>
  <c r="Q26" i="19"/>
  <c r="R26" i="19"/>
  <c r="S26" i="19"/>
  <c r="T26" i="19"/>
  <c r="U26" i="19"/>
  <c r="V26" i="19"/>
  <c r="W26" i="19"/>
  <c r="F27" i="19"/>
  <c r="G27" i="19"/>
  <c r="H27" i="19"/>
  <c r="I27" i="19"/>
  <c r="J27" i="19"/>
  <c r="K27" i="19"/>
  <c r="L27" i="19"/>
  <c r="M27" i="19"/>
  <c r="N27" i="19"/>
  <c r="O27" i="19"/>
  <c r="P27" i="19"/>
  <c r="Q27" i="19"/>
  <c r="R27" i="19"/>
  <c r="S27" i="19"/>
  <c r="T27" i="19"/>
  <c r="U27" i="19"/>
  <c r="V27" i="19"/>
  <c r="W27" i="19"/>
  <c r="F28" i="19"/>
  <c r="G28" i="19"/>
  <c r="H28" i="19"/>
  <c r="I28" i="19"/>
  <c r="J28" i="19"/>
  <c r="K28" i="19"/>
  <c r="L28" i="19"/>
  <c r="M28" i="19"/>
  <c r="N28" i="19"/>
  <c r="O28" i="19"/>
  <c r="P28" i="19"/>
  <c r="Q28" i="19"/>
  <c r="R28" i="19"/>
  <c r="S28" i="19"/>
  <c r="T28" i="19"/>
  <c r="U28" i="19"/>
  <c r="V28" i="19"/>
  <c r="W28" i="19"/>
  <c r="F29" i="19"/>
  <c r="G29" i="19"/>
  <c r="H29" i="19"/>
  <c r="I29" i="19"/>
  <c r="J29" i="19"/>
  <c r="K29" i="19"/>
  <c r="L29" i="19"/>
  <c r="M29" i="19"/>
  <c r="N29" i="19"/>
  <c r="O29" i="19"/>
  <c r="P29" i="19"/>
  <c r="Q29" i="19"/>
  <c r="R29" i="19"/>
  <c r="S29" i="19"/>
  <c r="T29" i="19"/>
  <c r="U29" i="19"/>
  <c r="V29" i="19"/>
  <c r="W29" i="19"/>
  <c r="F30" i="19"/>
  <c r="G30" i="19"/>
  <c r="H30" i="19"/>
  <c r="I30" i="19"/>
  <c r="J30" i="19"/>
  <c r="K30" i="19"/>
  <c r="L30" i="19"/>
  <c r="M30" i="19"/>
  <c r="N30" i="19"/>
  <c r="O30" i="19"/>
  <c r="P30" i="19"/>
  <c r="Q30" i="19"/>
  <c r="R30" i="19"/>
  <c r="S30" i="19"/>
  <c r="T30" i="19"/>
  <c r="U30" i="19"/>
  <c r="V30" i="19"/>
  <c r="W30" i="19"/>
  <c r="F31" i="19"/>
  <c r="G31" i="19"/>
  <c r="H31" i="19"/>
  <c r="I31" i="19"/>
  <c r="J31" i="19"/>
  <c r="K31" i="19"/>
  <c r="L31" i="19"/>
  <c r="M31" i="19"/>
  <c r="N31" i="19"/>
  <c r="O31" i="19"/>
  <c r="P31" i="19"/>
  <c r="Q31" i="19"/>
  <c r="R31" i="19"/>
  <c r="S31" i="19"/>
  <c r="T31" i="19"/>
  <c r="U31" i="19"/>
  <c r="V31" i="19"/>
  <c r="W31" i="19"/>
  <c r="F32" i="19"/>
  <c r="G32" i="19"/>
  <c r="H32" i="19"/>
  <c r="I32" i="19"/>
  <c r="J32" i="19"/>
  <c r="K32" i="19"/>
  <c r="L32" i="19"/>
  <c r="M32" i="19"/>
  <c r="N32" i="19"/>
  <c r="O32" i="19"/>
  <c r="P32" i="19"/>
  <c r="Q32" i="19"/>
  <c r="R32" i="19"/>
  <c r="S32" i="19"/>
  <c r="T32" i="19"/>
  <c r="U32" i="19"/>
  <c r="V32" i="19"/>
  <c r="W32" i="19"/>
  <c r="F33" i="19"/>
  <c r="G33" i="19"/>
  <c r="H33" i="19"/>
  <c r="I33" i="19"/>
  <c r="J33" i="19"/>
  <c r="K33" i="19"/>
  <c r="L33" i="19"/>
  <c r="M33" i="19"/>
  <c r="N33" i="19"/>
  <c r="O33" i="19"/>
  <c r="P33" i="19"/>
  <c r="Q33" i="19"/>
  <c r="R33" i="19"/>
  <c r="S33" i="19"/>
  <c r="T33" i="19"/>
  <c r="U33" i="19"/>
  <c r="V33" i="19"/>
  <c r="W33" i="19"/>
  <c r="W18" i="19"/>
  <c r="V18" i="19"/>
  <c r="U18" i="19"/>
  <c r="T18" i="19"/>
  <c r="S18" i="19"/>
  <c r="R18" i="19"/>
  <c r="Q18" i="19"/>
  <c r="P18" i="19"/>
  <c r="O18" i="19"/>
  <c r="N18" i="19"/>
  <c r="M18" i="19"/>
  <c r="L18" i="19"/>
  <c r="K18" i="19"/>
  <c r="J18" i="19"/>
  <c r="I18" i="19"/>
  <c r="H18" i="19"/>
  <c r="F18" i="19"/>
  <c r="F21" i="2"/>
  <c r="G21" i="2"/>
  <c r="H21" i="2"/>
  <c r="I21" i="2"/>
  <c r="J21" i="2"/>
  <c r="K21" i="2"/>
  <c r="L21" i="2"/>
  <c r="M21" i="2"/>
  <c r="N21" i="2"/>
  <c r="O21" i="2"/>
  <c r="P21" i="2"/>
  <c r="Q21" i="2"/>
  <c r="R21" i="2"/>
  <c r="S21" i="2"/>
  <c r="T21" i="2"/>
  <c r="U21" i="2"/>
  <c r="V21" i="2"/>
  <c r="F22" i="2"/>
  <c r="G22" i="2"/>
  <c r="H22" i="2"/>
  <c r="I22" i="2"/>
  <c r="J22" i="2"/>
  <c r="K22" i="2"/>
  <c r="L22" i="2"/>
  <c r="M22" i="2"/>
  <c r="N22" i="2"/>
  <c r="O22" i="2"/>
  <c r="P22" i="2"/>
  <c r="Q22" i="2"/>
  <c r="R22" i="2"/>
  <c r="S22" i="2"/>
  <c r="T22" i="2"/>
  <c r="U22" i="2"/>
  <c r="V22" i="2"/>
  <c r="F23" i="2"/>
  <c r="G23" i="2"/>
  <c r="H23" i="2"/>
  <c r="I23" i="2"/>
  <c r="J23" i="2"/>
  <c r="K23" i="2"/>
  <c r="L23" i="2"/>
  <c r="M23" i="2"/>
  <c r="N23" i="2"/>
  <c r="O23" i="2"/>
  <c r="P23" i="2"/>
  <c r="Q23" i="2"/>
  <c r="R23" i="2"/>
  <c r="S23" i="2"/>
  <c r="T23" i="2"/>
  <c r="U23" i="2"/>
  <c r="V23" i="2"/>
  <c r="F24" i="2"/>
  <c r="G24" i="2"/>
  <c r="H24" i="2"/>
  <c r="I24" i="2"/>
  <c r="J24" i="2"/>
  <c r="K24" i="2"/>
  <c r="L24" i="2"/>
  <c r="M24" i="2"/>
  <c r="N24" i="2"/>
  <c r="O24" i="2"/>
  <c r="P24" i="2"/>
  <c r="Q24" i="2"/>
  <c r="R24" i="2"/>
  <c r="S24" i="2"/>
  <c r="T24" i="2"/>
  <c r="U24" i="2"/>
  <c r="V24" i="2"/>
  <c r="F25" i="2"/>
  <c r="G25" i="2"/>
  <c r="H25" i="2"/>
  <c r="I25" i="2"/>
  <c r="J25" i="2"/>
  <c r="K25" i="2"/>
  <c r="L25" i="2"/>
  <c r="M25" i="2"/>
  <c r="N25" i="2"/>
  <c r="O25" i="2"/>
  <c r="P25" i="2"/>
  <c r="Q25" i="2"/>
  <c r="R25" i="2"/>
  <c r="S25" i="2"/>
  <c r="T25" i="2"/>
  <c r="U25" i="2"/>
  <c r="V25" i="2"/>
  <c r="F26" i="2"/>
  <c r="G26" i="2"/>
  <c r="H26" i="2"/>
  <c r="I26" i="2"/>
  <c r="J26" i="2"/>
  <c r="K26" i="2"/>
  <c r="L26" i="2"/>
  <c r="M26" i="2"/>
  <c r="N26" i="2"/>
  <c r="O26" i="2"/>
  <c r="P26" i="2"/>
  <c r="Q26" i="2"/>
  <c r="R26" i="2"/>
  <c r="S26" i="2"/>
  <c r="T26" i="2"/>
  <c r="U26" i="2"/>
  <c r="V26" i="2"/>
  <c r="F27" i="2"/>
  <c r="G27" i="2"/>
  <c r="H27" i="2"/>
  <c r="I27" i="2"/>
  <c r="J27" i="2"/>
  <c r="K27" i="2"/>
  <c r="L27" i="2"/>
  <c r="M27" i="2"/>
  <c r="N27" i="2"/>
  <c r="O27" i="2"/>
  <c r="P27" i="2"/>
  <c r="Q27" i="2"/>
  <c r="R27" i="2"/>
  <c r="S27" i="2"/>
  <c r="T27" i="2"/>
  <c r="U27" i="2"/>
  <c r="V27" i="2"/>
  <c r="F28" i="2"/>
  <c r="G28" i="2"/>
  <c r="H28" i="2"/>
  <c r="I28" i="2"/>
  <c r="J28" i="2"/>
  <c r="K28" i="2"/>
  <c r="L28" i="2"/>
  <c r="M28" i="2"/>
  <c r="N28" i="2"/>
  <c r="O28" i="2"/>
  <c r="P28" i="2"/>
  <c r="Q28" i="2"/>
  <c r="R28" i="2"/>
  <c r="S28" i="2"/>
  <c r="T28" i="2"/>
  <c r="U28" i="2"/>
  <c r="V28" i="2"/>
  <c r="F29" i="2"/>
  <c r="G29" i="2"/>
  <c r="H29" i="2"/>
  <c r="I29" i="2"/>
  <c r="J29" i="2"/>
  <c r="K29" i="2"/>
  <c r="L29" i="2"/>
  <c r="M29" i="2"/>
  <c r="N29" i="2"/>
  <c r="O29" i="2"/>
  <c r="P29" i="2"/>
  <c r="Q29" i="2"/>
  <c r="R29" i="2"/>
  <c r="S29" i="2"/>
  <c r="T29" i="2"/>
  <c r="U29" i="2"/>
  <c r="V29" i="2"/>
  <c r="F30" i="2"/>
  <c r="G30" i="2"/>
  <c r="H30" i="2"/>
  <c r="I30" i="2"/>
  <c r="J30" i="2"/>
  <c r="K30" i="2"/>
  <c r="L30" i="2"/>
  <c r="M30" i="2"/>
  <c r="N30" i="2"/>
  <c r="O30" i="2"/>
  <c r="P30" i="2"/>
  <c r="Q30" i="2"/>
  <c r="R30" i="2"/>
  <c r="S30" i="2"/>
  <c r="T30" i="2"/>
  <c r="U30" i="2"/>
  <c r="V30" i="2"/>
  <c r="F31" i="2"/>
  <c r="G31" i="2"/>
  <c r="H31" i="2"/>
  <c r="I31" i="2"/>
  <c r="J31" i="2"/>
  <c r="K31" i="2"/>
  <c r="L31" i="2"/>
  <c r="M31" i="2"/>
  <c r="N31" i="2"/>
  <c r="O31" i="2"/>
  <c r="P31" i="2"/>
  <c r="Q31" i="2"/>
  <c r="R31" i="2"/>
  <c r="S31" i="2"/>
  <c r="T31" i="2"/>
  <c r="U31" i="2"/>
  <c r="V31" i="2"/>
  <c r="F32" i="2"/>
  <c r="G32" i="2"/>
  <c r="H32" i="2"/>
  <c r="I32" i="2"/>
  <c r="J32" i="2"/>
  <c r="K32" i="2"/>
  <c r="L32" i="2"/>
  <c r="M32" i="2"/>
  <c r="N32" i="2"/>
  <c r="O32" i="2"/>
  <c r="P32" i="2"/>
  <c r="Q32" i="2"/>
  <c r="R32" i="2"/>
  <c r="S32" i="2"/>
  <c r="T32" i="2"/>
  <c r="U32" i="2"/>
  <c r="V32" i="2"/>
  <c r="F33" i="2"/>
  <c r="G33" i="2"/>
  <c r="H33" i="2"/>
  <c r="I33" i="2"/>
  <c r="J33" i="2"/>
  <c r="K33" i="2"/>
  <c r="L33" i="2"/>
  <c r="M33" i="2"/>
  <c r="N33" i="2"/>
  <c r="O33" i="2"/>
  <c r="P33" i="2"/>
  <c r="Q33" i="2"/>
  <c r="R33" i="2"/>
  <c r="S33" i="2"/>
  <c r="T33" i="2"/>
  <c r="U33" i="2"/>
  <c r="V33" i="2"/>
  <c r="F34" i="2"/>
  <c r="G34" i="2"/>
  <c r="H34" i="2"/>
  <c r="I34" i="2"/>
  <c r="J34" i="2"/>
  <c r="K34" i="2"/>
  <c r="L34" i="2"/>
  <c r="M34" i="2"/>
  <c r="N34" i="2"/>
  <c r="O34" i="2"/>
  <c r="P34" i="2"/>
  <c r="Q34" i="2"/>
  <c r="R34" i="2"/>
  <c r="S34" i="2"/>
  <c r="T34" i="2"/>
  <c r="U34" i="2"/>
  <c r="V34" i="2"/>
  <c r="F35" i="2"/>
  <c r="G35" i="2"/>
  <c r="H35" i="2"/>
  <c r="I35" i="2"/>
  <c r="J35" i="2"/>
  <c r="K35" i="2"/>
  <c r="L35" i="2"/>
  <c r="M35" i="2"/>
  <c r="N35" i="2"/>
  <c r="O35" i="2"/>
  <c r="P35" i="2"/>
  <c r="Q35" i="2"/>
  <c r="R35" i="2"/>
  <c r="S35" i="2"/>
  <c r="T35" i="2"/>
  <c r="U35" i="2"/>
  <c r="V35" i="2"/>
  <c r="V20" i="2"/>
  <c r="U20" i="2"/>
  <c r="T20" i="2"/>
  <c r="S20" i="2"/>
  <c r="R20" i="2"/>
  <c r="Q20" i="2"/>
  <c r="P20" i="2"/>
  <c r="O20" i="2"/>
  <c r="N20" i="2"/>
  <c r="M20" i="2"/>
  <c r="L20" i="2"/>
  <c r="K20" i="2"/>
  <c r="J20" i="2"/>
  <c r="I20" i="2"/>
  <c r="H20" i="2"/>
  <c r="F20" i="2"/>
  <c r="F60" i="2" s="1"/>
  <c r="F22" i="15"/>
  <c r="G22" i="15"/>
  <c r="H22" i="15"/>
  <c r="I22" i="15"/>
  <c r="J22" i="15"/>
  <c r="K22" i="15"/>
  <c r="L22" i="15"/>
  <c r="M22" i="15"/>
  <c r="N22" i="15"/>
  <c r="O22" i="15"/>
  <c r="P22" i="15"/>
  <c r="Q22" i="15"/>
  <c r="R22" i="15"/>
  <c r="S22" i="15"/>
  <c r="T22" i="15"/>
  <c r="U22" i="15"/>
  <c r="V22" i="15"/>
  <c r="F23" i="15"/>
  <c r="G23" i="15"/>
  <c r="H23" i="15"/>
  <c r="I23" i="15"/>
  <c r="J23" i="15"/>
  <c r="K23" i="15"/>
  <c r="L23" i="15"/>
  <c r="M23" i="15"/>
  <c r="N23" i="15"/>
  <c r="O23" i="15"/>
  <c r="P23" i="15"/>
  <c r="Q23" i="15"/>
  <c r="R23" i="15"/>
  <c r="S23" i="15"/>
  <c r="T23" i="15"/>
  <c r="U23" i="15"/>
  <c r="V23" i="15"/>
  <c r="F24" i="15"/>
  <c r="G24" i="15"/>
  <c r="H24" i="15"/>
  <c r="I24" i="15"/>
  <c r="J24" i="15"/>
  <c r="K24" i="15"/>
  <c r="L24" i="15"/>
  <c r="M24" i="15"/>
  <c r="N24" i="15"/>
  <c r="O24" i="15"/>
  <c r="P24" i="15"/>
  <c r="Q24" i="15"/>
  <c r="R24" i="15"/>
  <c r="S24" i="15"/>
  <c r="T24" i="15"/>
  <c r="U24" i="15"/>
  <c r="V24" i="15"/>
  <c r="F25" i="15"/>
  <c r="G25" i="15"/>
  <c r="H25" i="15"/>
  <c r="I25" i="15"/>
  <c r="J25" i="15"/>
  <c r="K25" i="15"/>
  <c r="L25" i="15"/>
  <c r="M25" i="15"/>
  <c r="N25" i="15"/>
  <c r="O25" i="15"/>
  <c r="P25" i="15"/>
  <c r="Q25" i="15"/>
  <c r="R25" i="15"/>
  <c r="S25" i="15"/>
  <c r="T25" i="15"/>
  <c r="U25" i="15"/>
  <c r="V25" i="15"/>
  <c r="F26" i="15"/>
  <c r="G26" i="15"/>
  <c r="H26" i="15"/>
  <c r="I26" i="15"/>
  <c r="J26" i="15"/>
  <c r="K26" i="15"/>
  <c r="L26" i="15"/>
  <c r="M26" i="15"/>
  <c r="N26" i="15"/>
  <c r="O26" i="15"/>
  <c r="P26" i="15"/>
  <c r="Q26" i="15"/>
  <c r="R26" i="15"/>
  <c r="S26" i="15"/>
  <c r="T26" i="15"/>
  <c r="U26" i="15"/>
  <c r="V26" i="15"/>
  <c r="F27" i="15"/>
  <c r="G27" i="15"/>
  <c r="H27" i="15"/>
  <c r="I27" i="15"/>
  <c r="J27" i="15"/>
  <c r="K27" i="15"/>
  <c r="L27" i="15"/>
  <c r="M27" i="15"/>
  <c r="N27" i="15"/>
  <c r="O27" i="15"/>
  <c r="P27" i="15"/>
  <c r="Q27" i="15"/>
  <c r="R27" i="15"/>
  <c r="S27" i="15"/>
  <c r="T27" i="15"/>
  <c r="U27" i="15"/>
  <c r="V27" i="15"/>
  <c r="F28" i="15"/>
  <c r="G28" i="15"/>
  <c r="H28" i="15"/>
  <c r="I28" i="15"/>
  <c r="J28" i="15"/>
  <c r="K28" i="15"/>
  <c r="L28" i="15"/>
  <c r="M28" i="15"/>
  <c r="N28" i="15"/>
  <c r="O28" i="15"/>
  <c r="P28" i="15"/>
  <c r="Q28" i="15"/>
  <c r="R28" i="15"/>
  <c r="S28" i="15"/>
  <c r="T28" i="15"/>
  <c r="U28" i="15"/>
  <c r="V28" i="15"/>
  <c r="F29" i="15"/>
  <c r="G29" i="15"/>
  <c r="H29" i="15"/>
  <c r="I29" i="15"/>
  <c r="J29" i="15"/>
  <c r="K29" i="15"/>
  <c r="L29" i="15"/>
  <c r="M29" i="15"/>
  <c r="N29" i="15"/>
  <c r="O29" i="15"/>
  <c r="P29" i="15"/>
  <c r="Q29" i="15"/>
  <c r="R29" i="15"/>
  <c r="S29" i="15"/>
  <c r="T29" i="15"/>
  <c r="U29" i="15"/>
  <c r="V29" i="15"/>
  <c r="F30" i="15"/>
  <c r="G30" i="15"/>
  <c r="H30" i="15"/>
  <c r="I30" i="15"/>
  <c r="J30" i="15"/>
  <c r="K30" i="15"/>
  <c r="L30" i="15"/>
  <c r="M30" i="15"/>
  <c r="N30" i="15"/>
  <c r="O30" i="15"/>
  <c r="P30" i="15"/>
  <c r="Q30" i="15"/>
  <c r="R30" i="15"/>
  <c r="S30" i="15"/>
  <c r="T30" i="15"/>
  <c r="U30" i="15"/>
  <c r="V30" i="15"/>
  <c r="F31" i="15"/>
  <c r="G31" i="15"/>
  <c r="H31" i="15"/>
  <c r="I31" i="15"/>
  <c r="J31" i="15"/>
  <c r="K31" i="15"/>
  <c r="L31" i="15"/>
  <c r="M31" i="15"/>
  <c r="N31" i="15"/>
  <c r="O31" i="15"/>
  <c r="P31" i="15"/>
  <c r="Q31" i="15"/>
  <c r="R31" i="15"/>
  <c r="S31" i="15"/>
  <c r="T31" i="15"/>
  <c r="U31" i="15"/>
  <c r="V31" i="15"/>
  <c r="F32" i="15"/>
  <c r="G32" i="15"/>
  <c r="H32" i="15"/>
  <c r="I32" i="15"/>
  <c r="J32" i="15"/>
  <c r="K32" i="15"/>
  <c r="L32" i="15"/>
  <c r="M32" i="15"/>
  <c r="N32" i="15"/>
  <c r="O32" i="15"/>
  <c r="P32" i="15"/>
  <c r="Q32" i="15"/>
  <c r="R32" i="15"/>
  <c r="S32" i="15"/>
  <c r="T32" i="15"/>
  <c r="U32" i="15"/>
  <c r="V32" i="15"/>
  <c r="F33" i="15"/>
  <c r="G33" i="15"/>
  <c r="H33" i="15"/>
  <c r="I33" i="15"/>
  <c r="J33" i="15"/>
  <c r="K33" i="15"/>
  <c r="L33" i="15"/>
  <c r="M33" i="15"/>
  <c r="N33" i="15"/>
  <c r="O33" i="15"/>
  <c r="P33" i="15"/>
  <c r="Q33" i="15"/>
  <c r="R33" i="15"/>
  <c r="S33" i="15"/>
  <c r="T33" i="15"/>
  <c r="U33" i="15"/>
  <c r="V33" i="15"/>
  <c r="F34" i="15"/>
  <c r="G34" i="15"/>
  <c r="H34" i="15"/>
  <c r="I34" i="15"/>
  <c r="J34" i="15"/>
  <c r="K34" i="15"/>
  <c r="L34" i="15"/>
  <c r="M34" i="15"/>
  <c r="N34" i="15"/>
  <c r="O34" i="15"/>
  <c r="P34" i="15"/>
  <c r="Q34" i="15"/>
  <c r="R34" i="15"/>
  <c r="S34" i="15"/>
  <c r="T34" i="15"/>
  <c r="U34" i="15"/>
  <c r="V34" i="15"/>
  <c r="F35" i="15"/>
  <c r="G35" i="15"/>
  <c r="H35" i="15"/>
  <c r="I35" i="15"/>
  <c r="J35" i="15"/>
  <c r="K35" i="15"/>
  <c r="L35" i="15"/>
  <c r="M35" i="15"/>
  <c r="N35" i="15"/>
  <c r="O35" i="15"/>
  <c r="P35" i="15"/>
  <c r="Q35" i="15"/>
  <c r="R35" i="15"/>
  <c r="S35" i="15"/>
  <c r="T35" i="15"/>
  <c r="U35" i="15"/>
  <c r="V35" i="15"/>
  <c r="F36" i="15"/>
  <c r="G36" i="15"/>
  <c r="H36" i="15"/>
  <c r="I36" i="15"/>
  <c r="J36" i="15"/>
  <c r="K36" i="15"/>
  <c r="L36" i="15"/>
  <c r="M36" i="15"/>
  <c r="N36" i="15"/>
  <c r="O36" i="15"/>
  <c r="P36" i="15"/>
  <c r="Q36" i="15"/>
  <c r="R36" i="15"/>
  <c r="S36" i="15"/>
  <c r="T36" i="15"/>
  <c r="U36" i="15"/>
  <c r="V36" i="15"/>
  <c r="V21" i="15"/>
  <c r="U21" i="15"/>
  <c r="T21" i="15"/>
  <c r="S21" i="15"/>
  <c r="R21" i="15"/>
  <c r="Q21" i="15"/>
  <c r="P21" i="15"/>
  <c r="O21" i="15"/>
  <c r="N21" i="15"/>
  <c r="M21" i="15"/>
  <c r="L21" i="15"/>
  <c r="K21" i="15"/>
  <c r="J21" i="15"/>
  <c r="I21" i="15"/>
  <c r="H21" i="15"/>
  <c r="F21" i="15"/>
  <c r="C20" i="23"/>
  <c r="C21" i="23"/>
  <c r="C22" i="23"/>
  <c r="C23" i="23"/>
  <c r="C24" i="23"/>
  <c r="C25" i="23"/>
  <c r="C26" i="23"/>
  <c r="C27" i="23"/>
  <c r="C28" i="23"/>
  <c r="C29" i="23"/>
  <c r="C30" i="23"/>
  <c r="C31" i="23"/>
  <c r="C32" i="23"/>
  <c r="C33" i="23"/>
  <c r="C34" i="23"/>
  <c r="C19" i="23"/>
  <c r="C17" i="25"/>
  <c r="C18" i="25"/>
  <c r="C19" i="25"/>
  <c r="C20" i="25"/>
  <c r="C21" i="25"/>
  <c r="C22" i="25"/>
  <c r="C23" i="25"/>
  <c r="C24" i="25"/>
  <c r="C25" i="25"/>
  <c r="C26" i="25"/>
  <c r="C27" i="25"/>
  <c r="C28" i="25"/>
  <c r="C29" i="25"/>
  <c r="C30" i="25"/>
  <c r="C31" i="25"/>
  <c r="C16" i="25"/>
  <c r="C22" i="15"/>
  <c r="C23" i="15"/>
  <c r="C24" i="15"/>
  <c r="C25" i="15"/>
  <c r="C26" i="15"/>
  <c r="C27" i="15"/>
  <c r="C28" i="15"/>
  <c r="C29" i="15"/>
  <c r="C30" i="15"/>
  <c r="C31" i="15"/>
  <c r="C32" i="15"/>
  <c r="C33" i="15"/>
  <c r="C34" i="15"/>
  <c r="C35" i="15"/>
  <c r="C36" i="15"/>
  <c r="C21" i="15"/>
  <c r="C19" i="17"/>
  <c r="C20" i="17"/>
  <c r="C21" i="17"/>
  <c r="C22" i="17"/>
  <c r="C23" i="17"/>
  <c r="C24" i="17"/>
  <c r="C25" i="17"/>
  <c r="C26" i="17"/>
  <c r="C27" i="17"/>
  <c r="C28" i="17"/>
  <c r="C29" i="17"/>
  <c r="C30" i="17"/>
  <c r="C31" i="17"/>
  <c r="C32" i="17"/>
  <c r="C33" i="17"/>
  <c r="C18" i="17"/>
  <c r="C20" i="11"/>
  <c r="C21" i="11"/>
  <c r="C22" i="11"/>
  <c r="C23" i="11"/>
  <c r="C24" i="11"/>
  <c r="C25" i="11"/>
  <c r="C26" i="11"/>
  <c r="C27" i="11"/>
  <c r="C28" i="11"/>
  <c r="C29" i="11"/>
  <c r="C30" i="11"/>
  <c r="C31" i="11"/>
  <c r="C32" i="11"/>
  <c r="C33" i="11"/>
  <c r="C34" i="11"/>
  <c r="C19" i="11"/>
  <c r="C19" i="19"/>
  <c r="C20" i="19"/>
  <c r="C21" i="19"/>
  <c r="C22" i="19"/>
  <c r="C23" i="19"/>
  <c r="C24" i="19"/>
  <c r="C25" i="19"/>
  <c r="C26" i="19"/>
  <c r="C27" i="19"/>
  <c r="C28" i="19"/>
  <c r="C29" i="19"/>
  <c r="C30" i="19"/>
  <c r="C31" i="19"/>
  <c r="C32" i="19"/>
  <c r="C33" i="19"/>
  <c r="C18" i="19"/>
  <c r="C21" i="2"/>
  <c r="C22" i="2"/>
  <c r="C23" i="2"/>
  <c r="C24" i="2"/>
  <c r="C25" i="2"/>
  <c r="C26" i="2"/>
  <c r="C27" i="2"/>
  <c r="C28" i="2"/>
  <c r="C29" i="2"/>
  <c r="C30" i="2"/>
  <c r="C31" i="2"/>
  <c r="C32" i="2"/>
  <c r="C33" i="2"/>
  <c r="C34" i="2"/>
  <c r="C35" i="2"/>
  <c r="C20" i="2"/>
  <c r="C60" i="2" s="1"/>
  <c r="K66" i="29" l="1"/>
  <c r="S62" i="29"/>
  <c r="V64" i="29"/>
  <c r="I66" i="29"/>
  <c r="N62" i="29"/>
  <c r="M62" i="29"/>
  <c r="L62" i="29"/>
  <c r="I62" i="29"/>
  <c r="R64" i="29"/>
  <c r="O62" i="29"/>
  <c r="T62" i="29"/>
  <c r="W66" i="29"/>
  <c r="S66" i="29"/>
  <c r="V62" i="29"/>
  <c r="S65" i="29"/>
  <c r="M66" i="29"/>
  <c r="J65" i="29"/>
  <c r="K62" i="29"/>
  <c r="J66" i="29"/>
  <c r="Q62" i="29"/>
  <c r="P66" i="29"/>
  <c r="V65" i="29"/>
  <c r="P62" i="29"/>
  <c r="N66" i="29"/>
  <c r="O66" i="29"/>
  <c r="W62" i="29"/>
  <c r="U62" i="29"/>
  <c r="U66" i="29"/>
  <c r="I65" i="29"/>
  <c r="K65" i="29"/>
  <c r="N65" i="29"/>
  <c r="J13" i="29"/>
  <c r="J14" i="29" s="1"/>
  <c r="J15" i="29" s="1"/>
  <c r="O15" i="29"/>
  <c r="H63" i="29"/>
  <c r="N12" i="29"/>
  <c r="N14" i="29" s="1"/>
  <c r="N15" i="29" s="1"/>
  <c r="R65" i="29"/>
  <c r="P65" i="29"/>
  <c r="W65" i="29"/>
  <c r="U65" i="29"/>
  <c r="O65" i="29"/>
  <c r="M65" i="29"/>
  <c r="T65" i="29"/>
  <c r="L65" i="29"/>
  <c r="J64" i="29"/>
  <c r="N64" i="29"/>
  <c r="W64" i="29"/>
  <c r="Q64" i="29"/>
  <c r="P63" i="29"/>
  <c r="P64" i="29"/>
  <c r="K64" i="29"/>
  <c r="U64" i="29"/>
  <c r="H64" i="29"/>
  <c r="I64" i="29"/>
  <c r="O64" i="29"/>
  <c r="K63" i="29"/>
  <c r="U63" i="29"/>
  <c r="W63" i="29"/>
  <c r="O63" i="29"/>
  <c r="L64" i="29"/>
  <c r="S64" i="29"/>
  <c r="V66" i="29"/>
  <c r="T66" i="29"/>
  <c r="M64" i="29"/>
  <c r="T63" i="29"/>
  <c r="R63" i="29"/>
  <c r="Q63" i="29"/>
  <c r="L63" i="29"/>
  <c r="I63" i="29"/>
  <c r="S63" i="29"/>
  <c r="V63" i="29"/>
  <c r="N63" i="29"/>
  <c r="J63" i="29"/>
  <c r="V60" i="29"/>
  <c r="U60" i="29"/>
  <c r="R60" i="29"/>
  <c r="I60" i="29"/>
  <c r="J60" i="29"/>
  <c r="P60" i="29"/>
  <c r="W60" i="29"/>
  <c r="K60" i="29"/>
  <c r="N60" i="29"/>
  <c r="T60" i="29"/>
  <c r="L60" i="29"/>
  <c r="M60" i="29"/>
  <c r="S60" i="29"/>
  <c r="E36" i="28"/>
  <c r="G38" i="28"/>
  <c r="M90" i="28"/>
  <c r="M36" i="28" s="1"/>
  <c r="M37" i="28" s="1"/>
  <c r="U90" i="28"/>
  <c r="U36" i="28" s="1"/>
  <c r="U37" i="28" s="1"/>
  <c r="T90" i="28"/>
  <c r="T36" i="28" s="1"/>
  <c r="T37" i="28" s="1"/>
  <c r="Y90" i="28"/>
  <c r="Y36" i="28" s="1"/>
  <c r="Y37" i="28" s="1"/>
  <c r="Q90" i="28"/>
  <c r="Q36" i="28" s="1"/>
  <c r="Q37" i="28" s="1"/>
  <c r="V90" i="28"/>
  <c r="V36" i="28" s="1"/>
  <c r="V37" i="28" s="1"/>
  <c r="I90" i="28"/>
  <c r="I36" i="28" s="1"/>
  <c r="I37" i="28" s="1"/>
  <c r="N90" i="28"/>
  <c r="N36" i="28" s="1"/>
  <c r="N37" i="28" s="1"/>
  <c r="K15" i="29"/>
  <c r="I15" i="29"/>
  <c r="G76" i="29"/>
  <c r="E76" i="29" s="1"/>
  <c r="F28" i="30"/>
  <c r="N3" i="29"/>
  <c r="B20" i="30" s="1"/>
  <c r="D54" i="29"/>
  <c r="E40" i="29"/>
  <c r="B22" i="30" s="1"/>
  <c r="L90" i="28"/>
  <c r="L36" i="28" s="1"/>
  <c r="J90" i="28"/>
  <c r="J36" i="28" s="1"/>
  <c r="O90" i="28"/>
  <c r="O36" i="28" s="1"/>
  <c r="W90" i="28"/>
  <c r="W36" i="28" s="1"/>
  <c r="W37" i="28" s="1"/>
  <c r="X90" i="28"/>
  <c r="X36" i="28" s="1"/>
  <c r="X37" i="28" s="1"/>
  <c r="R90" i="28"/>
  <c r="R36" i="28" s="1"/>
  <c r="S90" i="28"/>
  <c r="S36" i="28" s="1"/>
  <c r="S37" i="28" s="1"/>
  <c r="P90" i="28"/>
  <c r="P36" i="28" s="1"/>
  <c r="P37" i="28" s="1"/>
  <c r="K90" i="28"/>
  <c r="K36" i="28" s="1"/>
  <c r="K37" i="28" s="1"/>
  <c r="H90" i="28"/>
  <c r="H36" i="28" s="1"/>
  <c r="J11" i="2"/>
  <c r="K76" i="29" l="1"/>
  <c r="I40" i="29" s="1"/>
  <c r="I42" i="29" s="1"/>
  <c r="U76" i="29"/>
  <c r="S40" i="29" s="1"/>
  <c r="S41" i="29" s="1"/>
  <c r="F49" i="30" s="1"/>
  <c r="Q76" i="29"/>
  <c r="O40" i="29" s="1"/>
  <c r="O41" i="29" s="1"/>
  <c r="B53" i="30" s="1"/>
  <c r="O76" i="29"/>
  <c r="M40" i="29" s="1"/>
  <c r="W76" i="29"/>
  <c r="U40" i="29" s="1"/>
  <c r="U41" i="29" s="1"/>
  <c r="U42" i="29" s="1"/>
  <c r="P76" i="29"/>
  <c r="N40" i="29" s="1"/>
  <c r="R76" i="29"/>
  <c r="P40" i="29" s="1"/>
  <c r="P41" i="29" s="1"/>
  <c r="F46" i="30" s="1"/>
  <c r="L76" i="29"/>
  <c r="J40" i="29" s="1"/>
  <c r="J42" i="29" s="1"/>
  <c r="T76" i="29"/>
  <c r="R40" i="29" s="1"/>
  <c r="R41" i="29" s="1"/>
  <c r="F48" i="30" s="1"/>
  <c r="N76" i="29"/>
  <c r="L40" i="29" s="1"/>
  <c r="L41" i="29" s="1"/>
  <c r="B52" i="30" s="1"/>
  <c r="V76" i="29"/>
  <c r="T40" i="29" s="1"/>
  <c r="T41" i="29" s="1"/>
  <c r="F52" i="30" s="1"/>
  <c r="M76" i="29"/>
  <c r="K40" i="29" s="1"/>
  <c r="I76" i="29"/>
  <c r="S76" i="29"/>
  <c r="Q40" i="29" s="1"/>
  <c r="Q41" i="29" s="1"/>
  <c r="F47" i="30" s="1"/>
  <c r="J76" i="29"/>
  <c r="H23" i="29"/>
  <c r="H62" i="29" s="1"/>
  <c r="Q38" i="28"/>
  <c r="I38" i="28"/>
  <c r="M38" i="28"/>
  <c r="N38" i="28"/>
  <c r="O37" i="28"/>
  <c r="O38" i="28"/>
  <c r="H37" i="28"/>
  <c r="H38" i="28"/>
  <c r="J37" i="28"/>
  <c r="J38" i="28"/>
  <c r="R38" i="28"/>
  <c r="R37" i="28"/>
  <c r="L37" i="28"/>
  <c r="L38" i="28"/>
  <c r="I13" i="19"/>
  <c r="H12" i="19"/>
  <c r="J54" i="29" l="1"/>
  <c r="I41" i="29"/>
  <c r="B49" i="30" s="1"/>
  <c r="N41" i="29"/>
  <c r="F51" i="30" s="1"/>
  <c r="N42" i="29"/>
  <c r="L54" i="29"/>
  <c r="K42" i="29"/>
  <c r="M41" i="29"/>
  <c r="F50" i="30" s="1"/>
  <c r="M42" i="29"/>
  <c r="B18" i="30"/>
  <c r="N5" i="29"/>
  <c r="B21" i="30" s="1"/>
  <c r="J41" i="29"/>
  <c r="B50" i="30" s="1"/>
  <c r="K54" i="29"/>
  <c r="K41" i="29"/>
  <c r="B51" i="30" s="1"/>
  <c r="D12" i="11" a="1"/>
  <c r="D12" i="11" s="1"/>
  <c r="I12" i="2" l="1" a="1"/>
  <c r="I12" i="2" s="1"/>
  <c r="G21" i="17"/>
  <c r="G18" i="17"/>
  <c r="G20" i="2"/>
  <c r="H10" i="2"/>
  <c r="J11" i="19" l="1"/>
  <c r="N13" i="15"/>
  <c r="N12" i="2" a="1"/>
  <c r="N12" i="2" s="1"/>
  <c r="G19" i="17"/>
  <c r="P54" i="2"/>
  <c r="AE50" i="17" l="1"/>
  <c r="D15" i="2"/>
  <c r="I11" i="2" l="1"/>
  <c r="P57" i="2" s="1"/>
  <c r="Q54" i="2"/>
  <c r="Y66" i="23"/>
  <c r="Z66" i="23"/>
  <c r="AA66" i="23"/>
  <c r="Y67" i="23"/>
  <c r="Z67" i="23"/>
  <c r="AA67" i="23"/>
  <c r="Y68" i="23"/>
  <c r="Z68" i="23"/>
  <c r="AA68" i="23"/>
  <c r="Y69" i="23"/>
  <c r="Z69" i="23"/>
  <c r="AA69" i="23"/>
  <c r="Y70" i="23"/>
  <c r="Z70" i="23"/>
  <c r="AA70" i="23"/>
  <c r="Y71" i="23"/>
  <c r="Z71" i="23"/>
  <c r="AA71" i="23"/>
  <c r="Y72" i="23"/>
  <c r="Z72" i="23"/>
  <c r="AA72" i="23"/>
  <c r="Y73" i="23"/>
  <c r="Z73" i="23"/>
  <c r="AA73" i="23"/>
  <c r="Y74" i="23"/>
  <c r="Z74" i="23"/>
  <c r="AA74" i="23"/>
  <c r="AA60" i="23"/>
  <c r="AA61" i="23"/>
  <c r="AA62" i="23"/>
  <c r="AA63" i="23"/>
  <c r="AA64" i="23"/>
  <c r="AA65" i="23"/>
  <c r="AA59" i="23"/>
  <c r="Z60" i="23"/>
  <c r="Z61" i="23"/>
  <c r="Z62" i="23"/>
  <c r="Z63" i="23"/>
  <c r="Z64" i="23"/>
  <c r="Z65" i="23"/>
  <c r="Z59" i="23"/>
  <c r="Y60" i="23"/>
  <c r="Y61" i="23"/>
  <c r="Y62" i="23"/>
  <c r="Y63" i="23"/>
  <c r="Y64" i="23"/>
  <c r="Y65" i="23"/>
  <c r="Y59" i="23"/>
  <c r="AD45" i="15" a="1"/>
  <c r="AD45" i="15" s="1"/>
  <c r="AD42" i="15"/>
  <c r="N12" i="15" a="1"/>
  <c r="N12" i="15" s="1"/>
  <c r="AD35" i="15" a="1"/>
  <c r="AD35" i="15" s="1"/>
  <c r="K10" i="15"/>
  <c r="C15" i="15" l="1"/>
  <c r="AD41" i="15"/>
  <c r="AD40" i="15"/>
  <c r="AD37" i="15"/>
  <c r="AD36" i="15"/>
  <c r="AC34" i="15"/>
  <c r="AD34" i="15" s="1"/>
  <c r="N10" i="15" l="1"/>
  <c r="AK22" i="17"/>
  <c r="AK21" i="17"/>
  <c r="J10" i="23" a="1"/>
  <c r="J10" i="23" s="1"/>
  <c r="I10" i="23"/>
  <c r="H10" i="23"/>
  <c r="AF49" i="17" l="1"/>
  <c r="AF50" i="17"/>
  <c r="AL52" i="17"/>
  <c r="AL50" i="17"/>
  <c r="AL49" i="17"/>
  <c r="AL51" i="17"/>
  <c r="AF52" i="17"/>
  <c r="AK49" i="17"/>
  <c r="AG52" i="17"/>
  <c r="AH49" i="17"/>
  <c r="AK52" i="17"/>
  <c r="AG50" i="17"/>
  <c r="AJ52" i="17"/>
  <c r="AI52" i="17"/>
  <c r="AG51" i="17"/>
  <c r="AK50" i="17"/>
  <c r="AI51" i="17"/>
  <c r="AJ50" i="17"/>
  <c r="AF51" i="17"/>
  <c r="AH52" i="17"/>
  <c r="AG49" i="17"/>
  <c r="AK51" i="17"/>
  <c r="AI50" i="17"/>
  <c r="AH50" i="17"/>
  <c r="AJ51" i="17"/>
  <c r="AI49" i="17"/>
  <c r="AH51" i="17"/>
  <c r="AJ49" i="17"/>
  <c r="J11" i="23"/>
  <c r="K10" i="23"/>
  <c r="B15" i="24"/>
  <c r="B12" i="24"/>
  <c r="B13" i="24"/>
  <c r="B14" i="24"/>
  <c r="B11" i="24"/>
  <c r="A6" i="24" l="1"/>
  <c r="A6" i="16"/>
  <c r="A6" i="18"/>
  <c r="A6" i="12"/>
  <c r="A6" i="21"/>
  <c r="A26" i="26"/>
  <c r="A27" i="26"/>
  <c r="A28" i="26"/>
  <c r="A29" i="26"/>
  <c r="A30" i="26"/>
  <c r="A31" i="26"/>
  <c r="A32" i="26"/>
  <c r="A33" i="26"/>
  <c r="A34" i="26"/>
  <c r="A35" i="26"/>
  <c r="A36" i="26"/>
  <c r="A37" i="26"/>
  <c r="A38" i="26"/>
  <c r="A39" i="26"/>
  <c r="A40" i="26"/>
  <c r="A25" i="26"/>
  <c r="C39" i="26"/>
  <c r="B26" i="26"/>
  <c r="B27" i="26"/>
  <c r="B28" i="26"/>
  <c r="B29" i="26"/>
  <c r="B30" i="26"/>
  <c r="B31" i="26"/>
  <c r="B32" i="26"/>
  <c r="B33" i="26"/>
  <c r="B34" i="26"/>
  <c r="B35" i="26"/>
  <c r="B36" i="26"/>
  <c r="B37" i="26"/>
  <c r="B38" i="26"/>
  <c r="B39" i="26"/>
  <c r="B40" i="26"/>
  <c r="B25" i="26"/>
  <c r="A8" i="26"/>
  <c r="A6" i="26"/>
  <c r="B12" i="26"/>
  <c r="B13" i="26"/>
  <c r="B11" i="26"/>
  <c r="C41" i="26"/>
  <c r="B41" i="26"/>
  <c r="G2" i="26"/>
  <c r="N10" i="25"/>
  <c r="M10" i="25"/>
  <c r="I10" i="25"/>
  <c r="K10" i="25" s="1"/>
  <c r="AD26" i="25"/>
  <c r="H10" i="25" s="1"/>
  <c r="H72" i="25"/>
  <c r="E70" i="25"/>
  <c r="D70" i="25"/>
  <c r="B70" i="25"/>
  <c r="E69" i="25"/>
  <c r="D69" i="25"/>
  <c r="B69" i="25"/>
  <c r="E68" i="25"/>
  <c r="D68" i="25"/>
  <c r="B68" i="25"/>
  <c r="E67" i="25"/>
  <c r="D67" i="25"/>
  <c r="B67" i="25"/>
  <c r="E66" i="25"/>
  <c r="D66" i="25"/>
  <c r="B66" i="25"/>
  <c r="E65" i="25"/>
  <c r="D65" i="25"/>
  <c r="B65" i="25"/>
  <c r="E64" i="25"/>
  <c r="D64" i="25"/>
  <c r="B64" i="25"/>
  <c r="E63" i="25"/>
  <c r="D63" i="25"/>
  <c r="B63" i="25"/>
  <c r="E62" i="25"/>
  <c r="D62" i="25"/>
  <c r="B62" i="25"/>
  <c r="E61" i="25"/>
  <c r="D61" i="25"/>
  <c r="B61" i="25"/>
  <c r="E60" i="25"/>
  <c r="D60" i="25"/>
  <c r="B60" i="25"/>
  <c r="E59" i="25"/>
  <c r="D59" i="25"/>
  <c r="B59" i="25"/>
  <c r="E58" i="25"/>
  <c r="D58" i="25"/>
  <c r="B58" i="25"/>
  <c r="E57" i="25"/>
  <c r="D57" i="25"/>
  <c r="B57" i="25"/>
  <c r="E56" i="25"/>
  <c r="D56" i="25"/>
  <c r="B56" i="25"/>
  <c r="E55" i="25"/>
  <c r="D55" i="25"/>
  <c r="B55" i="25"/>
  <c r="D35" i="25"/>
  <c r="F25" i="26" s="1"/>
  <c r="G32" i="25"/>
  <c r="G31" i="25"/>
  <c r="G70" i="25" s="1"/>
  <c r="F70" i="25"/>
  <c r="C70" i="25"/>
  <c r="G30" i="25"/>
  <c r="G69" i="25" s="1"/>
  <c r="F69" i="25"/>
  <c r="C69" i="25"/>
  <c r="G29" i="25"/>
  <c r="G68" i="25" s="1"/>
  <c r="F68" i="25"/>
  <c r="C68" i="25"/>
  <c r="G28" i="25"/>
  <c r="G67" i="25" s="1"/>
  <c r="F67" i="25"/>
  <c r="C67" i="25"/>
  <c r="G27" i="25"/>
  <c r="G66" i="25" s="1"/>
  <c r="F66" i="25"/>
  <c r="C66" i="25"/>
  <c r="G26" i="25"/>
  <c r="G65" i="25" s="1"/>
  <c r="F65" i="25"/>
  <c r="C65" i="25"/>
  <c r="G25" i="25"/>
  <c r="G64" i="25" s="1"/>
  <c r="F64" i="25"/>
  <c r="C64" i="25"/>
  <c r="G24" i="25"/>
  <c r="G63" i="25" s="1"/>
  <c r="C63" i="25"/>
  <c r="G23" i="25"/>
  <c r="G62" i="25" s="1"/>
  <c r="F62" i="25"/>
  <c r="C62" i="25"/>
  <c r="G22" i="25"/>
  <c r="G61" i="25" s="1"/>
  <c r="F61" i="25"/>
  <c r="C61" i="25"/>
  <c r="G21" i="25"/>
  <c r="G60" i="25" s="1"/>
  <c r="F60" i="25"/>
  <c r="C60" i="25"/>
  <c r="G20" i="25"/>
  <c r="G59" i="25" s="1"/>
  <c r="F59" i="25"/>
  <c r="C59" i="25"/>
  <c r="G19" i="25"/>
  <c r="G58" i="25" s="1"/>
  <c r="F58" i="25"/>
  <c r="C58" i="25"/>
  <c r="G18" i="25"/>
  <c r="G57" i="25" s="1"/>
  <c r="F57" i="25"/>
  <c r="C57" i="25"/>
  <c r="G17" i="25"/>
  <c r="G56" i="25" s="1"/>
  <c r="F56" i="25"/>
  <c r="C56" i="25"/>
  <c r="G16" i="25"/>
  <c r="C25" i="26" s="1"/>
  <c r="F55" i="25"/>
  <c r="C55" i="25"/>
  <c r="W55" i="25" l="1"/>
  <c r="O55" i="25"/>
  <c r="V55" i="25"/>
  <c r="N55" i="25"/>
  <c r="U55" i="25"/>
  <c r="M55" i="25"/>
  <c r="T55" i="25"/>
  <c r="L55" i="25"/>
  <c r="S55" i="25"/>
  <c r="K55" i="25"/>
  <c r="H55" i="25"/>
  <c r="R55" i="25"/>
  <c r="J55" i="25"/>
  <c r="Q55" i="25"/>
  <c r="I55" i="25"/>
  <c r="P55" i="25"/>
  <c r="C38" i="26"/>
  <c r="C35" i="26"/>
  <c r="C40" i="26"/>
  <c r="C37" i="26"/>
  <c r="C36" i="26"/>
  <c r="L10" i="25"/>
  <c r="C34" i="26"/>
  <c r="C33" i="26"/>
  <c r="C32" i="26"/>
  <c r="C31" i="26"/>
  <c r="C30" i="26"/>
  <c r="C29" i="26"/>
  <c r="C28" i="26"/>
  <c r="C27" i="26"/>
  <c r="C26" i="26"/>
  <c r="G35" i="25"/>
  <c r="O3" i="25" s="1"/>
  <c r="J10" i="25"/>
  <c r="D71" i="25"/>
  <c r="G55" i="25"/>
  <c r="G71" i="25" s="1"/>
  <c r="K11" i="25" l="1"/>
  <c r="N11" i="25"/>
  <c r="J11" i="25"/>
  <c r="I11" i="25"/>
  <c r="M11" i="25"/>
  <c r="E35" i="25"/>
  <c r="B20" i="26" s="1"/>
  <c r="F26" i="26"/>
  <c r="E71" i="25"/>
  <c r="G37" i="25"/>
  <c r="D50" i="25"/>
  <c r="N3" i="25" s="1"/>
  <c r="B17" i="26" s="1"/>
  <c r="J71" i="25"/>
  <c r="J35" i="25" s="1"/>
  <c r="Q71" i="25"/>
  <c r="Q35" i="25" s="1"/>
  <c r="Q36" i="25" s="1"/>
  <c r="B51" i="26" s="1"/>
  <c r="W71" i="25"/>
  <c r="W35" i="25" s="1"/>
  <c r="W36" i="25" l="1"/>
  <c r="B16" i="26"/>
  <c r="E51" i="25"/>
  <c r="F51" i="25"/>
  <c r="J36" i="25"/>
  <c r="B46" i="26" s="1"/>
  <c r="B15" i="16" l="1"/>
  <c r="J13" i="15" a="1"/>
  <c r="J13" i="15" s="1"/>
  <c r="M12" i="15" a="1"/>
  <c r="M12" i="15" s="1"/>
  <c r="M10" i="15"/>
  <c r="L10" i="15"/>
  <c r="L10" i="23" l="1"/>
  <c r="M10" i="23"/>
  <c r="B15" i="3"/>
  <c r="A26" i="24" l="1"/>
  <c r="A27" i="24"/>
  <c r="A28" i="24"/>
  <c r="A29" i="24"/>
  <c r="A30" i="24"/>
  <c r="A31" i="24"/>
  <c r="A32" i="24"/>
  <c r="A33" i="24"/>
  <c r="A34" i="24"/>
  <c r="A35" i="24"/>
  <c r="A36" i="24"/>
  <c r="A37" i="24"/>
  <c r="A38" i="24"/>
  <c r="A39" i="24"/>
  <c r="A40" i="24"/>
  <c r="A25" i="24"/>
  <c r="B26" i="24"/>
  <c r="B27" i="24"/>
  <c r="B28" i="24"/>
  <c r="B29" i="24"/>
  <c r="B30" i="24"/>
  <c r="B31" i="24"/>
  <c r="B32" i="24"/>
  <c r="B33" i="24"/>
  <c r="B34" i="24"/>
  <c r="B35" i="24"/>
  <c r="B36" i="24"/>
  <c r="B37" i="24"/>
  <c r="B38" i="24"/>
  <c r="B39" i="24"/>
  <c r="B40" i="24"/>
  <c r="B41" i="24"/>
  <c r="B25" i="24"/>
  <c r="A29" i="16"/>
  <c r="A30" i="16"/>
  <c r="A31" i="16"/>
  <c r="A32" i="16"/>
  <c r="A33" i="16"/>
  <c r="A34" i="16"/>
  <c r="A35" i="16"/>
  <c r="A36" i="16"/>
  <c r="A37" i="16"/>
  <c r="A38" i="16"/>
  <c r="A39" i="16"/>
  <c r="A40" i="16"/>
  <c r="A41" i="16"/>
  <c r="A42" i="16"/>
  <c r="A43" i="16"/>
  <c r="A28" i="16"/>
  <c r="B29" i="16"/>
  <c r="B30" i="16"/>
  <c r="B31" i="16"/>
  <c r="B32" i="16"/>
  <c r="B33" i="16"/>
  <c r="B34" i="16"/>
  <c r="B35" i="16"/>
  <c r="B36" i="16"/>
  <c r="B37" i="16"/>
  <c r="B38" i="16"/>
  <c r="B39" i="16"/>
  <c r="B40" i="16"/>
  <c r="B41" i="16"/>
  <c r="B42" i="16"/>
  <c r="B43" i="16"/>
  <c r="B44" i="16"/>
  <c r="B28" i="16"/>
  <c r="A28" i="18"/>
  <c r="A29" i="18"/>
  <c r="A30" i="18"/>
  <c r="A31" i="18"/>
  <c r="A32" i="18"/>
  <c r="A33" i="18"/>
  <c r="A34" i="18"/>
  <c r="A35" i="18"/>
  <c r="A36" i="18"/>
  <c r="A37" i="18"/>
  <c r="A38" i="18"/>
  <c r="A39" i="18"/>
  <c r="A40" i="18"/>
  <c r="A41" i="18"/>
  <c r="A42" i="18"/>
  <c r="A27" i="18"/>
  <c r="B28" i="18"/>
  <c r="B29" i="18"/>
  <c r="B30" i="18"/>
  <c r="B31" i="18"/>
  <c r="B32" i="18"/>
  <c r="B33" i="18"/>
  <c r="B34" i="18"/>
  <c r="B35" i="18"/>
  <c r="B36" i="18"/>
  <c r="B37" i="18"/>
  <c r="B38" i="18"/>
  <c r="B39" i="18"/>
  <c r="B40" i="18"/>
  <c r="B41" i="18"/>
  <c r="B42" i="18"/>
  <c r="B43" i="18"/>
  <c r="B27" i="18"/>
  <c r="A28" i="12"/>
  <c r="A29" i="12"/>
  <c r="A30" i="12"/>
  <c r="A31" i="12"/>
  <c r="A32" i="12"/>
  <c r="A33" i="12"/>
  <c r="A34" i="12"/>
  <c r="A35" i="12"/>
  <c r="A36" i="12"/>
  <c r="A37" i="12"/>
  <c r="A38" i="12"/>
  <c r="A39" i="12"/>
  <c r="A40" i="12"/>
  <c r="A41" i="12"/>
  <c r="A42" i="12"/>
  <c r="A27" i="12"/>
  <c r="B28" i="12"/>
  <c r="B29" i="12"/>
  <c r="B30" i="12"/>
  <c r="B31" i="12"/>
  <c r="B32" i="12"/>
  <c r="B33" i="12"/>
  <c r="B34" i="12"/>
  <c r="B35" i="12"/>
  <c r="B36" i="12"/>
  <c r="B37" i="12"/>
  <c r="B38" i="12"/>
  <c r="B39" i="12"/>
  <c r="B40" i="12"/>
  <c r="B41" i="12"/>
  <c r="B42" i="12"/>
  <c r="B43" i="12"/>
  <c r="B27" i="12"/>
  <c r="A28" i="21"/>
  <c r="A29" i="21"/>
  <c r="A30" i="21"/>
  <c r="A31" i="21"/>
  <c r="A32" i="21"/>
  <c r="A33" i="21"/>
  <c r="A34" i="21"/>
  <c r="A35" i="21"/>
  <c r="A36" i="21"/>
  <c r="A37" i="21"/>
  <c r="A38" i="21"/>
  <c r="A39" i="21"/>
  <c r="A40" i="21"/>
  <c r="A41" i="21"/>
  <c r="A42" i="21"/>
  <c r="A27" i="21"/>
  <c r="B28" i="21"/>
  <c r="B29" i="21"/>
  <c r="B30" i="21"/>
  <c r="B31" i="21"/>
  <c r="B32" i="21"/>
  <c r="B33" i="21"/>
  <c r="B34" i="21"/>
  <c r="B35" i="21"/>
  <c r="B36" i="21"/>
  <c r="B37" i="21"/>
  <c r="B38" i="21"/>
  <c r="B39" i="21"/>
  <c r="B40" i="21"/>
  <c r="B41" i="21"/>
  <c r="B42" i="21"/>
  <c r="B27" i="21"/>
  <c r="B28" i="3"/>
  <c r="B29" i="3"/>
  <c r="B30" i="3"/>
  <c r="B31" i="3"/>
  <c r="B32" i="3"/>
  <c r="B33" i="3"/>
  <c r="B34" i="3"/>
  <c r="B35" i="3"/>
  <c r="B36" i="3"/>
  <c r="B37" i="3"/>
  <c r="B38" i="3"/>
  <c r="B39" i="3"/>
  <c r="B40" i="3"/>
  <c r="B41" i="3"/>
  <c r="B42" i="3"/>
  <c r="B27" i="3"/>
  <c r="A27" i="3"/>
  <c r="A28" i="3"/>
  <c r="A29" i="3"/>
  <c r="A30" i="3"/>
  <c r="A31" i="3"/>
  <c r="A32" i="3"/>
  <c r="A33" i="3"/>
  <c r="A34" i="3"/>
  <c r="A35" i="3"/>
  <c r="A36" i="3"/>
  <c r="A37" i="3"/>
  <c r="A38" i="3"/>
  <c r="A39" i="3"/>
  <c r="A40" i="3"/>
  <c r="A41" i="3"/>
  <c r="A42" i="3"/>
  <c r="G20" i="17"/>
  <c r="G34" i="23"/>
  <c r="G33" i="23"/>
  <c r="G32" i="23"/>
  <c r="G31" i="23"/>
  <c r="G30" i="23"/>
  <c r="G29" i="23"/>
  <c r="G28" i="23"/>
  <c r="G27" i="23"/>
  <c r="G26" i="23"/>
  <c r="G25" i="23"/>
  <c r="G24" i="23"/>
  <c r="G23" i="23"/>
  <c r="G22" i="23"/>
  <c r="G21" i="23"/>
  <c r="G20" i="23"/>
  <c r="G19" i="23"/>
  <c r="G21" i="15"/>
  <c r="F16" i="17"/>
  <c r="G25" i="17"/>
  <c r="G26" i="17"/>
  <c r="G27" i="17"/>
  <c r="G28" i="17"/>
  <c r="G29" i="17"/>
  <c r="G30" i="17"/>
  <c r="G31" i="17"/>
  <c r="G32" i="17"/>
  <c r="G33" i="17"/>
  <c r="A76" i="17"/>
  <c r="A77" i="17"/>
  <c r="A78" i="17"/>
  <c r="A79" i="17"/>
  <c r="A80" i="17"/>
  <c r="A81" i="17"/>
  <c r="A82" i="17"/>
  <c r="A83" i="17"/>
  <c r="A84" i="17"/>
  <c r="A85" i="17"/>
  <c r="A86" i="17"/>
  <c r="A87" i="17"/>
  <c r="A88" i="17"/>
  <c r="A89" i="17"/>
  <c r="A90" i="17"/>
  <c r="A75" i="17"/>
  <c r="G22" i="17"/>
  <c r="G23" i="17"/>
  <c r="G24" i="17"/>
  <c r="B60" i="2"/>
  <c r="G34" i="11"/>
  <c r="G33" i="11"/>
  <c r="G32" i="11"/>
  <c r="G31" i="11"/>
  <c r="G30" i="11"/>
  <c r="G29" i="11"/>
  <c r="G28" i="11"/>
  <c r="G27" i="11"/>
  <c r="G26" i="11"/>
  <c r="G25" i="11"/>
  <c r="G24" i="11"/>
  <c r="G23" i="11"/>
  <c r="G22" i="11"/>
  <c r="G21" i="11"/>
  <c r="G20" i="11"/>
  <c r="G19" i="11"/>
  <c r="G18" i="19"/>
  <c r="G60" i="2"/>
  <c r="R60" i="2" l="1"/>
  <c r="J60" i="2"/>
  <c r="Q60" i="2"/>
  <c r="I60" i="2"/>
  <c r="P60" i="2"/>
  <c r="H60" i="2"/>
  <c r="T60" i="2"/>
  <c r="K60" i="2"/>
  <c r="W60" i="2"/>
  <c r="O60" i="2"/>
  <c r="L60" i="2"/>
  <c r="V60" i="2"/>
  <c r="N60" i="2"/>
  <c r="U60" i="2"/>
  <c r="M60" i="2"/>
  <c r="S60" i="2"/>
  <c r="G59" i="23"/>
  <c r="G39" i="2"/>
  <c r="H12" i="11" l="1"/>
  <c r="G37" i="3"/>
  <c r="Q56" i="2" l="1"/>
  <c r="N11" i="2"/>
  <c r="P56" i="2"/>
  <c r="H11" i="2" l="1"/>
  <c r="H13" i="2" s="1"/>
  <c r="S55" i="2"/>
  <c r="Q57" i="2"/>
  <c r="I10" i="2"/>
  <c r="P55" i="2" l="1"/>
  <c r="O11" i="2"/>
  <c r="Q55" i="2"/>
  <c r="P11" i="2"/>
  <c r="O12" i="2" l="1" a="1"/>
  <c r="O12" i="2" s="1"/>
  <c r="J12" i="2" a="1"/>
  <c r="J12" i="2" s="1"/>
  <c r="N10" i="2"/>
  <c r="C26" i="24"/>
  <c r="C27" i="24"/>
  <c r="C28" i="24"/>
  <c r="C29" i="24"/>
  <c r="C30" i="24"/>
  <c r="C31" i="24"/>
  <c r="C32" i="24"/>
  <c r="C33" i="24"/>
  <c r="C34" i="24"/>
  <c r="C35" i="24"/>
  <c r="C36" i="24"/>
  <c r="C37" i="24"/>
  <c r="C38" i="24"/>
  <c r="C39" i="24"/>
  <c r="C40" i="24"/>
  <c r="C25" i="24"/>
  <c r="A8" i="24"/>
  <c r="G2" i="24"/>
  <c r="O10" i="23"/>
  <c r="N10" i="23"/>
  <c r="AE5" i="15"/>
  <c r="H76" i="23"/>
  <c r="E74" i="23"/>
  <c r="D74" i="23"/>
  <c r="E73" i="23"/>
  <c r="D73" i="23"/>
  <c r="E72" i="23"/>
  <c r="D72" i="23"/>
  <c r="E71" i="23"/>
  <c r="D71" i="23"/>
  <c r="E70" i="23"/>
  <c r="D70" i="23"/>
  <c r="E69" i="23"/>
  <c r="D69" i="23"/>
  <c r="E68" i="23"/>
  <c r="D68" i="23"/>
  <c r="E67" i="23"/>
  <c r="D67" i="23"/>
  <c r="E66" i="23"/>
  <c r="D66" i="23"/>
  <c r="E65" i="23"/>
  <c r="D65" i="23"/>
  <c r="E64" i="23"/>
  <c r="D64" i="23"/>
  <c r="E63" i="23"/>
  <c r="D63" i="23"/>
  <c r="E62" i="23"/>
  <c r="D62" i="23"/>
  <c r="E61" i="23"/>
  <c r="D61" i="23"/>
  <c r="E60" i="23"/>
  <c r="D60" i="23"/>
  <c r="E59" i="23"/>
  <c r="D59" i="23"/>
  <c r="D38" i="23"/>
  <c r="F25" i="24" s="1"/>
  <c r="G35" i="23"/>
  <c r="C41" i="24" s="1"/>
  <c r="G74" i="23"/>
  <c r="F74" i="23"/>
  <c r="C74" i="23"/>
  <c r="B74" i="23"/>
  <c r="G73" i="23"/>
  <c r="F73" i="23"/>
  <c r="C73" i="23"/>
  <c r="B73" i="23"/>
  <c r="G72" i="23"/>
  <c r="F72" i="23"/>
  <c r="C72" i="23"/>
  <c r="B72" i="23"/>
  <c r="G71" i="23"/>
  <c r="F71" i="23"/>
  <c r="C71" i="23"/>
  <c r="B71" i="23"/>
  <c r="G70" i="23"/>
  <c r="F70" i="23"/>
  <c r="C70" i="23"/>
  <c r="B70" i="23"/>
  <c r="G69" i="23"/>
  <c r="F69" i="23"/>
  <c r="C69" i="23"/>
  <c r="B69" i="23"/>
  <c r="G68" i="23"/>
  <c r="F68" i="23"/>
  <c r="C68" i="23"/>
  <c r="B68" i="23"/>
  <c r="G67" i="23"/>
  <c r="F67" i="23"/>
  <c r="C67" i="23"/>
  <c r="B67" i="23"/>
  <c r="G66" i="23"/>
  <c r="F66" i="23"/>
  <c r="C66" i="23"/>
  <c r="B66" i="23"/>
  <c r="G65" i="23"/>
  <c r="F65" i="23"/>
  <c r="C65" i="23"/>
  <c r="B65" i="23"/>
  <c r="G64" i="23"/>
  <c r="F64" i="23"/>
  <c r="C64" i="23"/>
  <c r="B64" i="23"/>
  <c r="G63" i="23"/>
  <c r="F63" i="23"/>
  <c r="C63" i="23"/>
  <c r="B63" i="23"/>
  <c r="G62" i="23"/>
  <c r="F62" i="23"/>
  <c r="C62" i="23"/>
  <c r="B62" i="23"/>
  <c r="G61" i="23"/>
  <c r="F61" i="23"/>
  <c r="C61" i="23"/>
  <c r="B61" i="23"/>
  <c r="G60" i="23"/>
  <c r="F60" i="23"/>
  <c r="C60" i="23"/>
  <c r="B60" i="23"/>
  <c r="F59" i="23"/>
  <c r="C59" i="23"/>
  <c r="B59" i="23"/>
  <c r="L71" i="25"/>
  <c r="L35" i="25" s="1"/>
  <c r="M71" i="25"/>
  <c r="M35" i="25" s="1"/>
  <c r="K71" i="25"/>
  <c r="K35" i="25" s="1"/>
  <c r="I71" i="25"/>
  <c r="I35" i="25" s="1"/>
  <c r="H71" i="25"/>
  <c r="H35" i="25" s="1"/>
  <c r="N71" i="25"/>
  <c r="N35" i="25" s="1"/>
  <c r="N36" i="25" s="1"/>
  <c r="B50" i="26" s="1"/>
  <c r="O71" i="25"/>
  <c r="O35" i="25" s="1"/>
  <c r="P71" i="25"/>
  <c r="P35" i="25" s="1"/>
  <c r="R71" i="25"/>
  <c r="R35" i="25" s="1"/>
  <c r="R36" i="25" s="1"/>
  <c r="F44" i="26" s="1"/>
  <c r="S71" i="25"/>
  <c r="S35" i="25" s="1"/>
  <c r="S36" i="25" s="1"/>
  <c r="F45" i="26" s="1"/>
  <c r="T71" i="25"/>
  <c r="T35" i="25" s="1"/>
  <c r="T36" i="25" s="1"/>
  <c r="F46" i="26" s="1"/>
  <c r="U71" i="25"/>
  <c r="U35" i="25" s="1"/>
  <c r="U36" i="25" s="1"/>
  <c r="F47" i="26" s="1"/>
  <c r="V71" i="25"/>
  <c r="V35" i="25" s="1"/>
  <c r="V36" i="25" s="1"/>
  <c r="F50" i="26" s="1"/>
  <c r="F63" i="25"/>
  <c r="V65" i="23" l="1"/>
  <c r="N65" i="23"/>
  <c r="W65" i="23"/>
  <c r="U65" i="23"/>
  <c r="M65" i="23"/>
  <c r="T65" i="23"/>
  <c r="L65" i="23"/>
  <c r="S65" i="23"/>
  <c r="K65" i="23"/>
  <c r="O65" i="23"/>
  <c r="R65" i="23"/>
  <c r="J65" i="23"/>
  <c r="Q65" i="23"/>
  <c r="I65" i="23"/>
  <c r="P65" i="23"/>
  <c r="H65" i="23"/>
  <c r="V64" i="23"/>
  <c r="N64" i="23"/>
  <c r="U64" i="23"/>
  <c r="M64" i="23"/>
  <c r="T64" i="23"/>
  <c r="L64" i="23"/>
  <c r="S64" i="23"/>
  <c r="K64" i="23"/>
  <c r="O64" i="23"/>
  <c r="R64" i="23"/>
  <c r="J64" i="23"/>
  <c r="H64" i="23"/>
  <c r="Q64" i="23"/>
  <c r="I64" i="23"/>
  <c r="P64" i="23"/>
  <c r="W64" i="23"/>
  <c r="V62" i="23"/>
  <c r="N62" i="23"/>
  <c r="U62" i="23"/>
  <c r="M62" i="23"/>
  <c r="T62" i="23"/>
  <c r="L62" i="23"/>
  <c r="R62" i="23"/>
  <c r="Q62" i="23"/>
  <c r="S62" i="23"/>
  <c r="K62" i="23"/>
  <c r="I62" i="23"/>
  <c r="P62" i="23"/>
  <c r="H62" i="23"/>
  <c r="W62" i="23"/>
  <c r="O62" i="23"/>
  <c r="J62" i="23"/>
  <c r="V61" i="23"/>
  <c r="N61" i="23"/>
  <c r="W61" i="23"/>
  <c r="U61" i="23"/>
  <c r="M61" i="23"/>
  <c r="S61" i="23"/>
  <c r="T61" i="23"/>
  <c r="L61" i="23"/>
  <c r="K61" i="23"/>
  <c r="O61" i="23"/>
  <c r="R61" i="23"/>
  <c r="J61" i="23"/>
  <c r="Q61" i="23"/>
  <c r="I61" i="23"/>
  <c r="P61" i="23"/>
  <c r="H61" i="23"/>
  <c r="V60" i="23"/>
  <c r="N60" i="23"/>
  <c r="K60" i="23"/>
  <c r="H60" i="23"/>
  <c r="U60" i="23"/>
  <c r="M60" i="23"/>
  <c r="S60" i="23"/>
  <c r="O60" i="23"/>
  <c r="T60" i="23"/>
  <c r="L60" i="23"/>
  <c r="R60" i="23"/>
  <c r="J60" i="23"/>
  <c r="Q60" i="23"/>
  <c r="I60" i="23"/>
  <c r="P60" i="23"/>
  <c r="W60" i="23"/>
  <c r="W59" i="23"/>
  <c r="R59" i="23"/>
  <c r="S59" i="23"/>
  <c r="U59" i="23"/>
  <c r="I59" i="23"/>
  <c r="O59" i="23"/>
  <c r="J59" i="23"/>
  <c r="V59" i="23"/>
  <c r="Q59" i="23"/>
  <c r="M59" i="23"/>
  <c r="L59" i="23"/>
  <c r="K59" i="23"/>
  <c r="N59" i="23"/>
  <c r="H59" i="23"/>
  <c r="P59" i="23"/>
  <c r="T59" i="23"/>
  <c r="H36" i="25"/>
  <c r="B44" i="26" s="1"/>
  <c r="I36" i="25"/>
  <c r="K36" i="25"/>
  <c r="K37" i="25"/>
  <c r="J51" i="25" s="1"/>
  <c r="J50" i="25"/>
  <c r="M36" i="25"/>
  <c r="L50" i="25"/>
  <c r="M37" i="25"/>
  <c r="L51" i="25" s="1"/>
  <c r="L36" i="25"/>
  <c r="L37" i="25"/>
  <c r="K51" i="25" s="1"/>
  <c r="K50" i="25"/>
  <c r="P36" i="25"/>
  <c r="F49" i="26" s="1"/>
  <c r="P37" i="25"/>
  <c r="I51" i="25" s="1"/>
  <c r="I50" i="25"/>
  <c r="O36" i="25"/>
  <c r="F48" i="26" s="1"/>
  <c r="O37" i="25"/>
  <c r="H51" i="25" s="1"/>
  <c r="H50" i="25"/>
  <c r="N13" i="2"/>
  <c r="P12" i="2"/>
  <c r="D75" i="23"/>
  <c r="G38" i="23"/>
  <c r="G75" i="23"/>
  <c r="N11" i="19"/>
  <c r="O11" i="19"/>
  <c r="C35" i="21"/>
  <c r="B11" i="21"/>
  <c r="B12" i="21"/>
  <c r="A8" i="21"/>
  <c r="G2" i="21"/>
  <c r="M10" i="19"/>
  <c r="M11" i="19"/>
  <c r="O10" i="19"/>
  <c r="N10" i="19"/>
  <c r="L10" i="19"/>
  <c r="L12" i="19" s="1"/>
  <c r="K10" i="19"/>
  <c r="K12" i="19" s="1"/>
  <c r="H10" i="19"/>
  <c r="J10" i="19"/>
  <c r="I11" i="19"/>
  <c r="I10" i="19"/>
  <c r="H92" i="19"/>
  <c r="E90" i="19"/>
  <c r="D90" i="19"/>
  <c r="E89" i="19"/>
  <c r="D89" i="19"/>
  <c r="E88" i="19"/>
  <c r="D88" i="19"/>
  <c r="E87" i="19"/>
  <c r="D87" i="19"/>
  <c r="E86" i="19"/>
  <c r="D86" i="19"/>
  <c r="E85" i="19"/>
  <c r="D85" i="19"/>
  <c r="E84" i="19"/>
  <c r="D84" i="19"/>
  <c r="E83" i="19"/>
  <c r="D83" i="19"/>
  <c r="E82" i="19"/>
  <c r="D82" i="19"/>
  <c r="E81" i="19"/>
  <c r="D81" i="19"/>
  <c r="E80" i="19"/>
  <c r="D80" i="19"/>
  <c r="E79" i="19"/>
  <c r="D79" i="19"/>
  <c r="E78" i="19"/>
  <c r="D78" i="19"/>
  <c r="E77" i="19"/>
  <c r="D77" i="19"/>
  <c r="E76" i="19"/>
  <c r="D76" i="19"/>
  <c r="E75" i="19"/>
  <c r="D75" i="19"/>
  <c r="D37" i="19"/>
  <c r="G34" i="19"/>
  <c r="G90" i="19"/>
  <c r="F90" i="19"/>
  <c r="C90" i="19"/>
  <c r="B90" i="19"/>
  <c r="G89" i="19"/>
  <c r="F89" i="19"/>
  <c r="C89" i="19"/>
  <c r="B89" i="19"/>
  <c r="G88" i="19"/>
  <c r="F88" i="19"/>
  <c r="C88" i="19"/>
  <c r="B88" i="19"/>
  <c r="G87" i="19"/>
  <c r="F87" i="19"/>
  <c r="C87" i="19"/>
  <c r="B87" i="19"/>
  <c r="G86" i="19"/>
  <c r="F86" i="19"/>
  <c r="C86" i="19"/>
  <c r="B86" i="19"/>
  <c r="G85" i="19"/>
  <c r="F85" i="19"/>
  <c r="C85" i="19"/>
  <c r="B85" i="19"/>
  <c r="G84" i="19"/>
  <c r="F84" i="19"/>
  <c r="C84" i="19"/>
  <c r="B84" i="19"/>
  <c r="G83" i="19"/>
  <c r="F83" i="19"/>
  <c r="C83" i="19"/>
  <c r="B83" i="19"/>
  <c r="G82" i="19"/>
  <c r="F82" i="19"/>
  <c r="C82" i="19"/>
  <c r="B82" i="19"/>
  <c r="G81" i="19"/>
  <c r="F81" i="19"/>
  <c r="C81" i="19"/>
  <c r="B81" i="19"/>
  <c r="G80" i="19"/>
  <c r="F80" i="19"/>
  <c r="C80" i="19"/>
  <c r="B80" i="19"/>
  <c r="G79" i="19"/>
  <c r="F79" i="19"/>
  <c r="C79" i="19"/>
  <c r="B79" i="19"/>
  <c r="G78" i="19"/>
  <c r="F78" i="19"/>
  <c r="C78" i="19"/>
  <c r="B78" i="19"/>
  <c r="G77" i="19"/>
  <c r="F77" i="19"/>
  <c r="C77" i="19"/>
  <c r="B77" i="19"/>
  <c r="G76" i="19"/>
  <c r="F76" i="19"/>
  <c r="C76" i="19"/>
  <c r="B76" i="19"/>
  <c r="C27" i="21"/>
  <c r="F75" i="19"/>
  <c r="C75" i="19"/>
  <c r="B75" i="19"/>
  <c r="W75" i="19" l="1"/>
  <c r="O75" i="19"/>
  <c r="V75" i="19"/>
  <c r="N75" i="19"/>
  <c r="I75" i="19"/>
  <c r="U75" i="19"/>
  <c r="M75" i="19"/>
  <c r="P75" i="19"/>
  <c r="T75" i="19"/>
  <c r="L75" i="19"/>
  <c r="S75" i="19"/>
  <c r="K75" i="19"/>
  <c r="H75" i="19"/>
  <c r="R75" i="19"/>
  <c r="J75" i="19"/>
  <c r="Q75" i="19"/>
  <c r="X75" i="19"/>
  <c r="B49" i="26"/>
  <c r="B18" i="26"/>
  <c r="B47" i="26"/>
  <c r="N5" i="25"/>
  <c r="B48" i="26"/>
  <c r="N4" i="25"/>
  <c r="B45" i="26"/>
  <c r="B19" i="26"/>
  <c r="F27" i="21"/>
  <c r="J75" i="23"/>
  <c r="J77" i="23" s="1"/>
  <c r="B49" i="24" s="1"/>
  <c r="I75" i="23"/>
  <c r="I77" i="23" s="1"/>
  <c r="B48" i="24" s="1"/>
  <c r="H75" i="23"/>
  <c r="H77" i="23" s="1"/>
  <c r="B47" i="24" s="1"/>
  <c r="M4" i="23"/>
  <c r="E38" i="23"/>
  <c r="B20" i="24" s="1"/>
  <c r="F26" i="24"/>
  <c r="E75" i="23"/>
  <c r="U75" i="23"/>
  <c r="R38" i="23" s="1"/>
  <c r="R39" i="23" s="1"/>
  <c r="F47" i="24" s="1"/>
  <c r="P75" i="23"/>
  <c r="M38" i="23" s="1"/>
  <c r="M40" i="23" s="1"/>
  <c r="Q75" i="23"/>
  <c r="N38" i="23" s="1"/>
  <c r="N39" i="23" s="1"/>
  <c r="B51" i="24" s="1"/>
  <c r="K75" i="23"/>
  <c r="H38" i="23" s="1"/>
  <c r="H39" i="23" s="1"/>
  <c r="N75" i="23"/>
  <c r="K38" i="23" s="1"/>
  <c r="K39" i="23" s="1"/>
  <c r="B50" i="24" s="1"/>
  <c r="R75" i="23"/>
  <c r="O38" i="23" s="1"/>
  <c r="O39" i="23" s="1"/>
  <c r="E44" i="24" s="1"/>
  <c r="S75" i="23"/>
  <c r="P38" i="23" s="1"/>
  <c r="P39" i="23" s="1"/>
  <c r="F45" i="24" s="1"/>
  <c r="W75" i="23"/>
  <c r="T38" i="23" s="1"/>
  <c r="L3" i="23" s="1"/>
  <c r="V75" i="23"/>
  <c r="S38" i="23" s="1"/>
  <c r="S39" i="23" s="1"/>
  <c r="F50" i="24" s="1"/>
  <c r="M75" i="23"/>
  <c r="J38" i="23" s="1"/>
  <c r="L75" i="23"/>
  <c r="I38" i="23" s="1"/>
  <c r="O75" i="23"/>
  <c r="L38" i="23" s="1"/>
  <c r="L40" i="23" s="1"/>
  <c r="T75" i="23"/>
  <c r="Q38" i="23" s="1"/>
  <c r="Q39" i="23" s="1"/>
  <c r="F46" i="24" s="1"/>
  <c r="L13" i="19"/>
  <c r="J12" i="19"/>
  <c r="J13" i="19" s="1"/>
  <c r="G37" i="19"/>
  <c r="O12" i="19"/>
  <c r="C41" i="21"/>
  <c r="C34" i="21"/>
  <c r="C39" i="21"/>
  <c r="C42" i="21"/>
  <c r="C38" i="21"/>
  <c r="C36" i="21"/>
  <c r="C40" i="21"/>
  <c r="C37" i="21"/>
  <c r="C33" i="21"/>
  <c r="C32" i="21"/>
  <c r="C31" i="21"/>
  <c r="C30" i="21"/>
  <c r="C29" i="21"/>
  <c r="C28" i="21"/>
  <c r="K13" i="19"/>
  <c r="M12" i="19"/>
  <c r="N12" i="19"/>
  <c r="I12" i="19"/>
  <c r="D91" i="19"/>
  <c r="G75" i="19"/>
  <c r="G91" i="19" s="1"/>
  <c r="C38" i="18"/>
  <c r="C39" i="18"/>
  <c r="C40" i="18"/>
  <c r="C41" i="18"/>
  <c r="C42" i="18"/>
  <c r="B13" i="18"/>
  <c r="B14" i="18"/>
  <c r="B11" i="18"/>
  <c r="A8" i="18"/>
  <c r="G2" i="18"/>
  <c r="G39" i="19" l="1"/>
  <c r="P3" i="19"/>
  <c r="B17" i="21" s="1"/>
  <c r="L6" i="23"/>
  <c r="B19" i="24" s="1"/>
  <c r="T39" i="23"/>
  <c r="B17" i="24"/>
  <c r="L39" i="23"/>
  <c r="F48" i="24" s="1"/>
  <c r="J39" i="23"/>
  <c r="B46" i="24" s="1"/>
  <c r="M39" i="23"/>
  <c r="F49" i="24" s="1"/>
  <c r="I39" i="23"/>
  <c r="O13" i="19"/>
  <c r="N13" i="19"/>
  <c r="M13" i="19"/>
  <c r="D70" i="19"/>
  <c r="F28" i="21"/>
  <c r="W91" i="19"/>
  <c r="W37" i="19" s="1"/>
  <c r="W38" i="19" s="1"/>
  <c r="P4" i="19" s="1"/>
  <c r="E37" i="19"/>
  <c r="B20" i="21" s="1"/>
  <c r="E91" i="19"/>
  <c r="U91" i="19"/>
  <c r="U37" i="19" s="1"/>
  <c r="U38" i="19" s="1"/>
  <c r="F49" i="21" s="1"/>
  <c r="X91" i="19"/>
  <c r="X37" i="19" s="1"/>
  <c r="Q91" i="19"/>
  <c r="Q37" i="19" s="1"/>
  <c r="Q38" i="19" s="1"/>
  <c r="B53" i="21" s="1"/>
  <c r="H91" i="19"/>
  <c r="H37" i="19" s="1"/>
  <c r="H39" i="19" s="1"/>
  <c r="I91" i="19"/>
  <c r="I37" i="19" s="1"/>
  <c r="I39" i="19" s="1"/>
  <c r="O91" i="19"/>
  <c r="O37" i="19" s="1"/>
  <c r="O39" i="19" s="1"/>
  <c r="P91" i="19"/>
  <c r="P37" i="19" s="1"/>
  <c r="P39" i="19" s="1"/>
  <c r="S91" i="19"/>
  <c r="S37" i="19" s="1"/>
  <c r="S38" i="19" s="1"/>
  <c r="F47" i="21" s="1"/>
  <c r="R91" i="19"/>
  <c r="R37" i="19" s="1"/>
  <c r="R38" i="19" s="1"/>
  <c r="F46" i="21" s="1"/>
  <c r="J91" i="19"/>
  <c r="J37" i="19" s="1"/>
  <c r="N91" i="19"/>
  <c r="N37" i="19" s="1"/>
  <c r="N38" i="19" s="1"/>
  <c r="B52" i="21" s="1"/>
  <c r="L91" i="19"/>
  <c r="L37" i="19" s="1"/>
  <c r="L39" i="19" s="1"/>
  <c r="K91" i="19"/>
  <c r="K37" i="19" s="1"/>
  <c r="K39" i="19" s="1"/>
  <c r="V91" i="19"/>
  <c r="V37" i="19" s="1"/>
  <c r="V38" i="19" s="1"/>
  <c r="F52" i="21" s="1"/>
  <c r="T91" i="19"/>
  <c r="T37" i="19" s="1"/>
  <c r="T38" i="19" s="1"/>
  <c r="F48" i="21" s="1"/>
  <c r="M91" i="19"/>
  <c r="M37" i="19" s="1"/>
  <c r="M39" i="19" s="1"/>
  <c r="D10" i="17"/>
  <c r="H92" i="17"/>
  <c r="E90" i="17"/>
  <c r="D90" i="17"/>
  <c r="E89" i="17"/>
  <c r="D89" i="17"/>
  <c r="E88" i="17"/>
  <c r="D88" i="17"/>
  <c r="E87" i="17"/>
  <c r="D87" i="17"/>
  <c r="E86" i="17"/>
  <c r="D86" i="17"/>
  <c r="E85" i="17"/>
  <c r="D85" i="17"/>
  <c r="E84" i="17"/>
  <c r="D84" i="17"/>
  <c r="E83" i="17"/>
  <c r="D83" i="17"/>
  <c r="E82" i="17"/>
  <c r="D82" i="17"/>
  <c r="E81" i="17"/>
  <c r="D81" i="17"/>
  <c r="E80" i="17"/>
  <c r="D80" i="17"/>
  <c r="E79" i="17"/>
  <c r="D79" i="17"/>
  <c r="E78" i="17"/>
  <c r="D78" i="17"/>
  <c r="E77" i="17"/>
  <c r="D77" i="17"/>
  <c r="E76" i="17"/>
  <c r="D76" i="17"/>
  <c r="E75" i="17"/>
  <c r="D75" i="17"/>
  <c r="D37" i="17"/>
  <c r="F27" i="18" s="1"/>
  <c r="G34" i="17"/>
  <c r="C43" i="18" s="1"/>
  <c r="G90" i="17"/>
  <c r="F90" i="17"/>
  <c r="C90" i="17"/>
  <c r="G89" i="17"/>
  <c r="F89" i="17"/>
  <c r="C89" i="17"/>
  <c r="G88" i="17"/>
  <c r="F88" i="17"/>
  <c r="C88" i="17"/>
  <c r="G87" i="17"/>
  <c r="F87" i="17"/>
  <c r="C87" i="17"/>
  <c r="G86" i="17"/>
  <c r="F86" i="17"/>
  <c r="C86" i="17"/>
  <c r="F85" i="17"/>
  <c r="C85" i="17"/>
  <c r="F84" i="17"/>
  <c r="C84" i="17"/>
  <c r="F83" i="17"/>
  <c r="C83" i="17"/>
  <c r="F82" i="17"/>
  <c r="C82" i="17"/>
  <c r="F81" i="17"/>
  <c r="C81" i="17"/>
  <c r="F80" i="17"/>
  <c r="C80" i="17"/>
  <c r="F79" i="17"/>
  <c r="C79" i="17"/>
  <c r="F78" i="17"/>
  <c r="C78" i="17"/>
  <c r="F77" i="17"/>
  <c r="C77" i="17"/>
  <c r="F76" i="17"/>
  <c r="C76" i="17"/>
  <c r="C27" i="18"/>
  <c r="F75" i="17"/>
  <c r="C75" i="17"/>
  <c r="B14" i="16"/>
  <c r="B13" i="16"/>
  <c r="B12" i="16"/>
  <c r="B11" i="16"/>
  <c r="A8" i="16"/>
  <c r="G2" i="16"/>
  <c r="K12" i="15" a="1"/>
  <c r="K12" i="15" s="1"/>
  <c r="J12" i="15" a="1"/>
  <c r="J12" i="15" s="1"/>
  <c r="AF5" i="15"/>
  <c r="D16" i="15" s="1" a="1"/>
  <c r="D16" i="15" s="1"/>
  <c r="H11" i="15" s="1"/>
  <c r="H14" i="15" s="1"/>
  <c r="K13" i="15" a="1"/>
  <c r="K13" i="15" s="1"/>
  <c r="AK24" i="17" l="1" a="1"/>
  <c r="AK24" i="17" s="1"/>
  <c r="I10" i="17" s="1" a="1"/>
  <c r="I10" i="17" s="1"/>
  <c r="AK23" i="17" a="1"/>
  <c r="AK23" i="17" s="1"/>
  <c r="B44" i="24"/>
  <c r="L5" i="23"/>
  <c r="B12" i="18"/>
  <c r="B45" i="24"/>
  <c r="G85" i="17"/>
  <c r="C37" i="18"/>
  <c r="G84" i="17"/>
  <c r="C36" i="18"/>
  <c r="G83" i="17"/>
  <c r="C35" i="18"/>
  <c r="G82" i="17"/>
  <c r="C34" i="18"/>
  <c r="G77" i="17"/>
  <c r="C29" i="18"/>
  <c r="G78" i="17"/>
  <c r="C30" i="18"/>
  <c r="J70" i="19"/>
  <c r="F70" i="19"/>
  <c r="K70" i="19"/>
  <c r="E70" i="19"/>
  <c r="H70" i="19"/>
  <c r="L70" i="19"/>
  <c r="I70" i="19"/>
  <c r="B19" i="21"/>
  <c r="X38" i="19"/>
  <c r="B16" i="21"/>
  <c r="F53" i="21"/>
  <c r="B21" i="21"/>
  <c r="K38" i="19"/>
  <c r="B49" i="21" s="1"/>
  <c r="J71" i="19"/>
  <c r="P38" i="19"/>
  <c r="F51" i="21" s="1"/>
  <c r="I71" i="19"/>
  <c r="K71" i="19"/>
  <c r="L38" i="19"/>
  <c r="B50" i="21" s="1"/>
  <c r="O38" i="19"/>
  <c r="F50" i="21" s="1"/>
  <c r="H71" i="19"/>
  <c r="L71" i="19"/>
  <c r="M38" i="19"/>
  <c r="F71" i="19"/>
  <c r="I38" i="19"/>
  <c r="B47" i="21" s="1"/>
  <c r="G70" i="19"/>
  <c r="J38" i="19"/>
  <c r="B48" i="21" s="1"/>
  <c r="H38" i="19"/>
  <c r="B46" i="21" s="1"/>
  <c r="G81" i="17"/>
  <c r="C33" i="18"/>
  <c r="G80" i="17"/>
  <c r="C32" i="18"/>
  <c r="G76" i="17"/>
  <c r="C28" i="18"/>
  <c r="G79" i="17"/>
  <c r="C31" i="18"/>
  <c r="B76" i="17"/>
  <c r="B82" i="17"/>
  <c r="B90" i="17"/>
  <c r="B77" i="17"/>
  <c r="B85" i="17"/>
  <c r="B80" i="17"/>
  <c r="B88" i="17"/>
  <c r="B75" i="17"/>
  <c r="B83" i="17"/>
  <c r="B84" i="17"/>
  <c r="B78" i="17"/>
  <c r="B86" i="17"/>
  <c r="B81" i="17"/>
  <c r="B89" i="17"/>
  <c r="B79" i="17"/>
  <c r="B87" i="17"/>
  <c r="G37" i="17"/>
  <c r="D91" i="17"/>
  <c r="G75" i="17"/>
  <c r="T90" i="17" l="1"/>
  <c r="L90" i="17"/>
  <c r="S90" i="17"/>
  <c r="K90" i="17"/>
  <c r="R90" i="17"/>
  <c r="J90" i="17"/>
  <c r="Q90" i="17"/>
  <c r="I90" i="17"/>
  <c r="P90" i="17"/>
  <c r="H90" i="17"/>
  <c r="W90" i="17"/>
  <c r="O90" i="17"/>
  <c r="V90" i="17"/>
  <c r="N90" i="17"/>
  <c r="U90" i="17"/>
  <c r="M90" i="17"/>
  <c r="T85" i="17"/>
  <c r="L85" i="17"/>
  <c r="S85" i="17"/>
  <c r="K85" i="17"/>
  <c r="R85" i="17"/>
  <c r="J85" i="17"/>
  <c r="Q85" i="17"/>
  <c r="I85" i="17"/>
  <c r="P85" i="17"/>
  <c r="H85" i="17"/>
  <c r="W85" i="17"/>
  <c r="O85" i="17"/>
  <c r="V85" i="17"/>
  <c r="N85" i="17"/>
  <c r="U85" i="17"/>
  <c r="M85" i="17"/>
  <c r="T87" i="17"/>
  <c r="L87" i="17"/>
  <c r="S87" i="17"/>
  <c r="K87" i="17"/>
  <c r="R87" i="17"/>
  <c r="J87" i="17"/>
  <c r="Q87" i="17"/>
  <c r="I87" i="17"/>
  <c r="P87" i="17"/>
  <c r="H87" i="17"/>
  <c r="W87" i="17"/>
  <c r="O87" i="17"/>
  <c r="V87" i="17"/>
  <c r="N87" i="17"/>
  <c r="U87" i="17"/>
  <c r="M87" i="17"/>
  <c r="T86" i="17"/>
  <c r="L86" i="17"/>
  <c r="S86" i="17"/>
  <c r="K86" i="17"/>
  <c r="R86" i="17"/>
  <c r="J86" i="17"/>
  <c r="Q86" i="17"/>
  <c r="I86" i="17"/>
  <c r="P86" i="17"/>
  <c r="H86" i="17"/>
  <c r="W86" i="17"/>
  <c r="O86" i="17"/>
  <c r="V86" i="17"/>
  <c r="N86" i="17"/>
  <c r="U86" i="17"/>
  <c r="M86" i="17"/>
  <c r="T88" i="17"/>
  <c r="L88" i="17"/>
  <c r="S88" i="17"/>
  <c r="K88" i="17"/>
  <c r="R88" i="17"/>
  <c r="J88" i="17"/>
  <c r="Q88" i="17"/>
  <c r="I88" i="17"/>
  <c r="P88" i="17"/>
  <c r="H88" i="17"/>
  <c r="W88" i="17"/>
  <c r="O88" i="17"/>
  <c r="V88" i="17"/>
  <c r="N88" i="17"/>
  <c r="U88" i="17"/>
  <c r="M88" i="17"/>
  <c r="T89" i="17"/>
  <c r="L89" i="17"/>
  <c r="S89" i="17"/>
  <c r="K89" i="17"/>
  <c r="R89" i="17"/>
  <c r="J89" i="17"/>
  <c r="Q89" i="17"/>
  <c r="I89" i="17"/>
  <c r="P89" i="17"/>
  <c r="H89" i="17"/>
  <c r="W89" i="17"/>
  <c r="O89" i="17"/>
  <c r="V89" i="17"/>
  <c r="N89" i="17"/>
  <c r="U89" i="17"/>
  <c r="M89" i="17"/>
  <c r="T84" i="17"/>
  <c r="S84" i="17"/>
  <c r="K84" i="17"/>
  <c r="R84" i="17"/>
  <c r="J84" i="17"/>
  <c r="H84" i="17"/>
  <c r="N84" i="17"/>
  <c r="U84" i="17"/>
  <c r="Q84" i="17"/>
  <c r="I84" i="17"/>
  <c r="P84" i="17"/>
  <c r="W84" i="17"/>
  <c r="O84" i="17"/>
  <c r="V84" i="17"/>
  <c r="M84" i="17"/>
  <c r="L84" i="17"/>
  <c r="T83" i="17"/>
  <c r="L83" i="17"/>
  <c r="H83" i="17"/>
  <c r="S83" i="17"/>
  <c r="K83" i="17"/>
  <c r="R83" i="17"/>
  <c r="J83" i="17"/>
  <c r="Q83" i="17"/>
  <c r="I83" i="17"/>
  <c r="P83" i="17"/>
  <c r="W83" i="17"/>
  <c r="O83" i="17"/>
  <c r="U83" i="17"/>
  <c r="V83" i="17"/>
  <c r="N83" i="17"/>
  <c r="M83" i="17"/>
  <c r="T82" i="17"/>
  <c r="L82" i="17"/>
  <c r="S82" i="17"/>
  <c r="K82" i="17"/>
  <c r="J82" i="17"/>
  <c r="N82" i="17"/>
  <c r="U82" i="17"/>
  <c r="R82" i="17"/>
  <c r="Q82" i="17"/>
  <c r="I82" i="17"/>
  <c r="W82" i="17"/>
  <c r="O82" i="17"/>
  <c r="V82" i="17"/>
  <c r="M82" i="17"/>
  <c r="P82" i="17"/>
  <c r="H82" i="17"/>
  <c r="T80" i="17"/>
  <c r="L80" i="17"/>
  <c r="S80" i="17"/>
  <c r="K80" i="17"/>
  <c r="M80" i="17"/>
  <c r="R80" i="17"/>
  <c r="J80" i="17"/>
  <c r="U80" i="17"/>
  <c r="Q80" i="17"/>
  <c r="I80" i="17"/>
  <c r="P80" i="17"/>
  <c r="H80" i="17"/>
  <c r="W80" i="17"/>
  <c r="O80" i="17"/>
  <c r="V80" i="17"/>
  <c r="N80" i="17"/>
  <c r="T81" i="17"/>
  <c r="L81" i="17"/>
  <c r="W81" i="17"/>
  <c r="S81" i="17"/>
  <c r="K81" i="17"/>
  <c r="R81" i="17"/>
  <c r="J81" i="17"/>
  <c r="Q81" i="17"/>
  <c r="I81" i="17"/>
  <c r="P81" i="17"/>
  <c r="H81" i="17"/>
  <c r="V81" i="17"/>
  <c r="U81" i="17"/>
  <c r="M81" i="17"/>
  <c r="O81" i="17"/>
  <c r="N81" i="17"/>
  <c r="T79" i="17"/>
  <c r="L79" i="17"/>
  <c r="V79" i="17"/>
  <c r="S79" i="17"/>
  <c r="K79" i="17"/>
  <c r="N79" i="17"/>
  <c r="U79" i="17"/>
  <c r="R79" i="17"/>
  <c r="J79" i="17"/>
  <c r="M79" i="17"/>
  <c r="Q79" i="17"/>
  <c r="I79" i="17"/>
  <c r="P79" i="17"/>
  <c r="H79" i="17"/>
  <c r="W79" i="17"/>
  <c r="O79" i="17"/>
  <c r="T78" i="17"/>
  <c r="L78" i="17"/>
  <c r="S78" i="17"/>
  <c r="K78" i="17"/>
  <c r="R78" i="17"/>
  <c r="J78" i="17"/>
  <c r="Q78" i="17"/>
  <c r="I78" i="17"/>
  <c r="V78" i="17"/>
  <c r="P78" i="17"/>
  <c r="H78" i="17"/>
  <c r="N78" i="17"/>
  <c r="W78" i="17"/>
  <c r="U78" i="17"/>
  <c r="M78" i="17"/>
  <c r="O78" i="17"/>
  <c r="V77" i="17"/>
  <c r="N77" i="17"/>
  <c r="U77" i="17"/>
  <c r="M77" i="17"/>
  <c r="L77" i="17"/>
  <c r="H77" i="17"/>
  <c r="T77" i="17"/>
  <c r="P77" i="17"/>
  <c r="O77" i="17"/>
  <c r="S77" i="17"/>
  <c r="K77" i="17"/>
  <c r="R77" i="17"/>
  <c r="J77" i="17"/>
  <c r="Q77" i="17"/>
  <c r="I77" i="17"/>
  <c r="W77" i="17"/>
  <c r="V76" i="17"/>
  <c r="N76" i="17"/>
  <c r="M76" i="17"/>
  <c r="J76" i="17"/>
  <c r="U76" i="17"/>
  <c r="T76" i="17"/>
  <c r="L76" i="17"/>
  <c r="K76" i="17"/>
  <c r="S76" i="17"/>
  <c r="R76" i="17"/>
  <c r="Q76" i="17"/>
  <c r="I76" i="17"/>
  <c r="P76" i="17"/>
  <c r="H76" i="17"/>
  <c r="W76" i="17"/>
  <c r="O76" i="17"/>
  <c r="W75" i="17"/>
  <c r="O75" i="17"/>
  <c r="V75" i="17"/>
  <c r="N75" i="17"/>
  <c r="U75" i="17"/>
  <c r="M75" i="17"/>
  <c r="K75" i="17"/>
  <c r="T75" i="17"/>
  <c r="L75" i="17"/>
  <c r="S75" i="17"/>
  <c r="R75" i="17"/>
  <c r="J75" i="17"/>
  <c r="Q75" i="17"/>
  <c r="I75" i="17"/>
  <c r="P75" i="17"/>
  <c r="H75" i="17"/>
  <c r="P10" i="17" a="1"/>
  <c r="P10" i="17" s="1"/>
  <c r="M10" i="17" a="1"/>
  <c r="M10" i="17" s="1"/>
  <c r="O10" i="17" a="1"/>
  <c r="O10" i="17" s="1"/>
  <c r="L10" i="17" a="1"/>
  <c r="L10" i="17" s="1"/>
  <c r="J10" i="17" a="1"/>
  <c r="J10" i="17" s="1"/>
  <c r="H10" i="17" a="1"/>
  <c r="H10" i="17" s="1"/>
  <c r="M4" i="17" s="1"/>
  <c r="N10" i="17" a="1"/>
  <c r="N10" i="17" s="1"/>
  <c r="N4" i="17"/>
  <c r="N11" i="15"/>
  <c r="N14" i="15" s="1"/>
  <c r="O14" i="15" s="1"/>
  <c r="I14" i="15"/>
  <c r="B16" i="16"/>
  <c r="B51" i="21"/>
  <c r="B18" i="21"/>
  <c r="E71" i="19"/>
  <c r="G91" i="17"/>
  <c r="E91" i="17" s="1"/>
  <c r="E37" i="17"/>
  <c r="B22" i="18" s="1"/>
  <c r="F28" i="18"/>
  <c r="J11" i="15"/>
  <c r="N91" i="17" l="1"/>
  <c r="N37" i="17" s="1"/>
  <c r="N38" i="17" s="1"/>
  <c r="B52" i="18" s="1"/>
  <c r="T91" i="17"/>
  <c r="T37" i="17" s="1"/>
  <c r="T38" i="17" s="1"/>
  <c r="F48" i="18" s="1"/>
  <c r="S91" i="17"/>
  <c r="S37" i="17" s="1"/>
  <c r="S38" i="17" s="1"/>
  <c r="F47" i="18" s="1"/>
  <c r="U91" i="17"/>
  <c r="U37" i="17" s="1"/>
  <c r="U38" i="17" s="1"/>
  <c r="F49" i="18" s="1"/>
  <c r="J91" i="17"/>
  <c r="J37" i="17" s="1"/>
  <c r="J38" i="17" s="1"/>
  <c r="B48" i="18" s="1"/>
  <c r="R91" i="17"/>
  <c r="R37" i="17" s="1"/>
  <c r="R38" i="17" s="1"/>
  <c r="F46" i="18" s="1"/>
  <c r="V91" i="17"/>
  <c r="V37" i="17" s="1"/>
  <c r="V38" i="17" s="1"/>
  <c r="F52" i="18" s="1"/>
  <c r="H91" i="17"/>
  <c r="H37" i="17" s="1"/>
  <c r="H38" i="17" s="1"/>
  <c r="B46" i="18" s="1"/>
  <c r="P91" i="17"/>
  <c r="P37" i="17" s="1"/>
  <c r="P38" i="17" s="1"/>
  <c r="F51" i="18" s="1"/>
  <c r="I91" i="17"/>
  <c r="I37" i="17" s="1"/>
  <c r="I39" i="17" s="1"/>
  <c r="M91" i="17"/>
  <c r="M37" i="17" s="1"/>
  <c r="Q91" i="17"/>
  <c r="Q37" i="17" s="1"/>
  <c r="Q38" i="17" s="1"/>
  <c r="B53" i="18" s="1"/>
  <c r="K91" i="17"/>
  <c r="K37" i="17" s="1"/>
  <c r="K39" i="17" s="1"/>
  <c r="O91" i="17"/>
  <c r="O37" i="17" s="1"/>
  <c r="O38" i="17" s="1"/>
  <c r="F50" i="18" s="1"/>
  <c r="L91" i="17"/>
  <c r="L37" i="17" s="1"/>
  <c r="L39" i="17" s="1"/>
  <c r="W91" i="17"/>
  <c r="W37" i="17" s="1"/>
  <c r="O11" i="17"/>
  <c r="K11" i="17"/>
  <c r="B19" i="18"/>
  <c r="M11" i="17"/>
  <c r="P11" i="17"/>
  <c r="L11" i="17"/>
  <c r="N11" i="17"/>
  <c r="G39" i="17"/>
  <c r="I11" i="17"/>
  <c r="J11" i="17"/>
  <c r="M3" i="17" l="1"/>
  <c r="H39" i="17"/>
  <c r="O39" i="17"/>
  <c r="P39" i="17"/>
  <c r="B20" i="18"/>
  <c r="K38" i="17"/>
  <c r="B49" i="18" s="1"/>
  <c r="I38" i="17"/>
  <c r="B21" i="18" s="1"/>
  <c r="M38" i="17"/>
  <c r="B51" i="18" s="1"/>
  <c r="M39" i="17"/>
  <c r="L38" i="17"/>
  <c r="B18" i="18"/>
  <c r="W38" i="17"/>
  <c r="AC10" i="11"/>
  <c r="I13" i="2"/>
  <c r="M6" i="17" l="1"/>
  <c r="B47" i="18"/>
  <c r="M5" i="17"/>
  <c r="B50" i="18"/>
  <c r="L12" i="15" a="1"/>
  <c r="L12" i="15" s="1"/>
  <c r="H77" i="15" l="1"/>
  <c r="E75" i="15"/>
  <c r="D75" i="15"/>
  <c r="E74" i="15"/>
  <c r="D74" i="15"/>
  <c r="E73" i="15"/>
  <c r="D73" i="15"/>
  <c r="E72" i="15"/>
  <c r="D72" i="15"/>
  <c r="E71" i="15"/>
  <c r="D71" i="15"/>
  <c r="E70" i="15"/>
  <c r="D70" i="15"/>
  <c r="E69" i="15"/>
  <c r="D69" i="15"/>
  <c r="E68" i="15"/>
  <c r="D68" i="15"/>
  <c r="E67" i="15"/>
  <c r="D67" i="15"/>
  <c r="E66" i="15"/>
  <c r="D66" i="15"/>
  <c r="E65" i="15"/>
  <c r="D65" i="15"/>
  <c r="E64" i="15"/>
  <c r="D64" i="15"/>
  <c r="E63" i="15"/>
  <c r="D63" i="15"/>
  <c r="E62" i="15"/>
  <c r="D62" i="15"/>
  <c r="E61" i="15"/>
  <c r="D61" i="15"/>
  <c r="E60" i="15"/>
  <c r="D60" i="15"/>
  <c r="D40" i="15"/>
  <c r="F28" i="16" s="1"/>
  <c r="G37" i="15"/>
  <c r="F75" i="15"/>
  <c r="C75" i="15"/>
  <c r="F74" i="15"/>
  <c r="C74" i="15"/>
  <c r="F73" i="15"/>
  <c r="C73" i="15"/>
  <c r="F72" i="15"/>
  <c r="C72" i="15"/>
  <c r="F71" i="15"/>
  <c r="C71" i="15"/>
  <c r="F70" i="15"/>
  <c r="C70" i="15"/>
  <c r="F69" i="15"/>
  <c r="C69" i="15"/>
  <c r="F68" i="15"/>
  <c r="C68" i="15"/>
  <c r="F67" i="15"/>
  <c r="C67" i="15"/>
  <c r="F66" i="15"/>
  <c r="C66" i="15"/>
  <c r="F65" i="15"/>
  <c r="C65" i="15"/>
  <c r="F64" i="15"/>
  <c r="C64" i="15"/>
  <c r="F63" i="15"/>
  <c r="C63" i="15"/>
  <c r="F62" i="15"/>
  <c r="C62" i="15"/>
  <c r="F61" i="15"/>
  <c r="C61" i="15"/>
  <c r="C28" i="16"/>
  <c r="F60" i="15"/>
  <c r="C60" i="15"/>
  <c r="P10" i="2"/>
  <c r="P13" i="2" l="1"/>
  <c r="G69" i="15"/>
  <c r="C37" i="16"/>
  <c r="G64" i="15"/>
  <c r="C32" i="16"/>
  <c r="G72" i="15"/>
  <c r="C40" i="16"/>
  <c r="G70" i="15"/>
  <c r="C38" i="16"/>
  <c r="G65" i="15"/>
  <c r="C33" i="16"/>
  <c r="G73" i="15"/>
  <c r="C41" i="16"/>
  <c r="G68" i="15"/>
  <c r="C36" i="16"/>
  <c r="G67" i="15"/>
  <c r="C35" i="16"/>
  <c r="G75" i="15"/>
  <c r="C43" i="16"/>
  <c r="G71" i="15"/>
  <c r="C39" i="16"/>
  <c r="G66" i="15"/>
  <c r="C34" i="16"/>
  <c r="G74" i="15"/>
  <c r="C42" i="16"/>
  <c r="G63" i="15"/>
  <c r="C31" i="16"/>
  <c r="G62" i="15"/>
  <c r="C30" i="16"/>
  <c r="G61" i="15"/>
  <c r="C29" i="16"/>
  <c r="B68" i="15"/>
  <c r="B70" i="15"/>
  <c r="B73" i="15"/>
  <c r="B63" i="15"/>
  <c r="B71" i="15"/>
  <c r="B65" i="15"/>
  <c r="B66" i="15"/>
  <c r="B74" i="15"/>
  <c r="B61" i="15"/>
  <c r="B69" i="15"/>
  <c r="B60" i="15"/>
  <c r="B62" i="15"/>
  <c r="B64" i="15"/>
  <c r="B72" i="15"/>
  <c r="B67" i="15"/>
  <c r="B75" i="15"/>
  <c r="M11" i="15"/>
  <c r="L11" i="15"/>
  <c r="K11" i="15"/>
  <c r="G40" i="15"/>
  <c r="O3" i="15" s="1"/>
  <c r="D76" i="15"/>
  <c r="G60" i="15"/>
  <c r="W61" i="15" l="1"/>
  <c r="O61" i="15"/>
  <c r="P61" i="15"/>
  <c r="V61" i="15"/>
  <c r="N61" i="15"/>
  <c r="M61" i="15"/>
  <c r="U61" i="15"/>
  <c r="L61" i="15"/>
  <c r="K61" i="15"/>
  <c r="H61" i="15"/>
  <c r="T61" i="15"/>
  <c r="S61" i="15"/>
  <c r="R61" i="15"/>
  <c r="J61" i="15"/>
  <c r="I61" i="15"/>
  <c r="Q61" i="15"/>
  <c r="W60" i="15"/>
  <c r="W76" i="15" s="1"/>
  <c r="W40" i="15" s="1"/>
  <c r="B19" i="16" s="1"/>
  <c r="O60" i="15"/>
  <c r="O76" i="15" s="1"/>
  <c r="O40" i="15" s="1"/>
  <c r="V60" i="15"/>
  <c r="N60" i="15"/>
  <c r="U60" i="15"/>
  <c r="M60" i="15"/>
  <c r="K60" i="15"/>
  <c r="R60" i="15"/>
  <c r="T60" i="15"/>
  <c r="L60" i="15"/>
  <c r="Q60" i="15"/>
  <c r="I60" i="15"/>
  <c r="P60" i="15"/>
  <c r="H60" i="15"/>
  <c r="S60" i="15"/>
  <c r="J60" i="15"/>
  <c r="Q14" i="15"/>
  <c r="G42" i="15"/>
  <c r="F29" i="16"/>
  <c r="G76" i="15"/>
  <c r="E76" i="15" s="1"/>
  <c r="J14" i="15"/>
  <c r="K14" i="15"/>
  <c r="L14" i="15"/>
  <c r="M14" i="15"/>
  <c r="N3" i="15"/>
  <c r="B20" i="16" s="1"/>
  <c r="E40" i="15"/>
  <c r="B23" i="16" s="1"/>
  <c r="M76" i="15" l="1"/>
  <c r="M40" i="15" s="1"/>
  <c r="M41" i="15" s="1"/>
  <c r="B52" i="16" s="1"/>
  <c r="J76" i="15"/>
  <c r="J40" i="15" s="1"/>
  <c r="H76" i="15"/>
  <c r="H40" i="15" s="1"/>
  <c r="H42" i="15" s="1"/>
  <c r="R76" i="15"/>
  <c r="R40" i="15" s="1"/>
  <c r="R41" i="15" s="1"/>
  <c r="F47" i="16" s="1"/>
  <c r="K76" i="15"/>
  <c r="K40" i="15" s="1"/>
  <c r="K42" i="15" s="1"/>
  <c r="S76" i="15"/>
  <c r="S40" i="15" s="1"/>
  <c r="S41" i="15" s="1"/>
  <c r="F48" i="16" s="1"/>
  <c r="P76" i="15"/>
  <c r="P40" i="15" s="1"/>
  <c r="I55" i="15" s="1"/>
  <c r="I76" i="15"/>
  <c r="I40" i="15" s="1"/>
  <c r="Q76" i="15"/>
  <c r="Q40" i="15" s="1"/>
  <c r="Q41" i="15" s="1"/>
  <c r="B54" i="16" s="1"/>
  <c r="V76" i="15"/>
  <c r="V40" i="15" s="1"/>
  <c r="V41" i="15" s="1"/>
  <c r="F53" i="16" s="1"/>
  <c r="L76" i="15"/>
  <c r="L40" i="15" s="1"/>
  <c r="L41" i="15" s="1"/>
  <c r="U76" i="15"/>
  <c r="U40" i="15" s="1"/>
  <c r="U41" i="15" s="1"/>
  <c r="F50" i="16" s="1"/>
  <c r="N76" i="15"/>
  <c r="N40" i="15" s="1"/>
  <c r="N41" i="15" s="1"/>
  <c r="B53" i="16" s="1"/>
  <c r="T76" i="15"/>
  <c r="T40" i="15" s="1"/>
  <c r="T41" i="15" s="1"/>
  <c r="F49" i="16" s="1"/>
  <c r="O15" i="15"/>
  <c r="P14" i="15"/>
  <c r="O42" i="15"/>
  <c r="H55" i="15"/>
  <c r="D55" i="15"/>
  <c r="M15" i="15"/>
  <c r="K15" i="15"/>
  <c r="H15" i="15"/>
  <c r="N15" i="15"/>
  <c r="J15" i="15"/>
  <c r="L15" i="15"/>
  <c r="J41" i="15"/>
  <c r="B49" i="16" s="1"/>
  <c r="W41" i="15"/>
  <c r="O41" i="15"/>
  <c r="F51" i="16" s="1"/>
  <c r="A8" i="12"/>
  <c r="C33" i="12"/>
  <c r="C34" i="12"/>
  <c r="C35" i="12"/>
  <c r="C36" i="12"/>
  <c r="C37" i="12"/>
  <c r="C38" i="12"/>
  <c r="C39" i="12"/>
  <c r="C40" i="12"/>
  <c r="C41" i="12"/>
  <c r="C42" i="12"/>
  <c r="B12" i="12"/>
  <c r="B13" i="12"/>
  <c r="B11" i="12"/>
  <c r="G2" i="12"/>
  <c r="L55" i="15" l="1"/>
  <c r="J55" i="15"/>
  <c r="K41" i="15"/>
  <c r="B50" i="16" s="1"/>
  <c r="B21" i="16"/>
  <c r="P42" i="15"/>
  <c r="B22" i="16"/>
  <c r="E55" i="15"/>
  <c r="H41" i="15"/>
  <c r="B47" i="16" s="1"/>
  <c r="I42" i="15"/>
  <c r="I41" i="15"/>
  <c r="B48" i="16" s="1"/>
  <c r="P41" i="15"/>
  <c r="F52" i="16" s="1"/>
  <c r="F55" i="15"/>
  <c r="M42" i="15"/>
  <c r="P15" i="15"/>
  <c r="K55" i="15"/>
  <c r="L42" i="15"/>
  <c r="B51" i="16"/>
  <c r="B14" i="12"/>
  <c r="N5" i="15" l="1"/>
  <c r="N4" i="15"/>
  <c r="AC2" i="11"/>
  <c r="AC3" i="11"/>
  <c r="D13" i="11" s="1" a="1"/>
  <c r="D13" i="11" s="1"/>
  <c r="H93" i="11"/>
  <c r="E91" i="11"/>
  <c r="D91" i="11"/>
  <c r="E90" i="11"/>
  <c r="D90" i="11"/>
  <c r="E89" i="11"/>
  <c r="D89" i="11"/>
  <c r="E88" i="11"/>
  <c r="D88" i="11"/>
  <c r="E87" i="11"/>
  <c r="D87" i="11"/>
  <c r="E86" i="11"/>
  <c r="D86" i="11"/>
  <c r="E85" i="11"/>
  <c r="D85" i="11"/>
  <c r="E84" i="11"/>
  <c r="D84" i="11"/>
  <c r="E83" i="11"/>
  <c r="D83" i="11"/>
  <c r="E82" i="11"/>
  <c r="D82" i="11"/>
  <c r="E81" i="11"/>
  <c r="D81" i="11"/>
  <c r="E80" i="11"/>
  <c r="D80" i="11"/>
  <c r="E79" i="11"/>
  <c r="D79" i="11"/>
  <c r="E78" i="11"/>
  <c r="D78" i="11"/>
  <c r="E77" i="11"/>
  <c r="D77" i="11"/>
  <c r="E76" i="11"/>
  <c r="D76" i="11"/>
  <c r="D38" i="11"/>
  <c r="F27" i="12" s="1"/>
  <c r="G91" i="11"/>
  <c r="F91" i="11"/>
  <c r="C91" i="11"/>
  <c r="G90" i="11"/>
  <c r="F90" i="11"/>
  <c r="C90" i="11"/>
  <c r="G89" i="11"/>
  <c r="F89" i="11"/>
  <c r="C89" i="11"/>
  <c r="G88" i="11"/>
  <c r="F88" i="11"/>
  <c r="C88" i="11"/>
  <c r="G87" i="11"/>
  <c r="F87" i="11"/>
  <c r="C87" i="11"/>
  <c r="G86" i="11"/>
  <c r="F86" i="11"/>
  <c r="C86" i="11"/>
  <c r="G85" i="11"/>
  <c r="F85" i="11"/>
  <c r="C85" i="11"/>
  <c r="G84" i="11"/>
  <c r="F84" i="11"/>
  <c r="C84" i="11"/>
  <c r="G83" i="11"/>
  <c r="F83" i="11"/>
  <c r="C83" i="11"/>
  <c r="G82" i="11"/>
  <c r="F82" i="11"/>
  <c r="C82" i="11"/>
  <c r="F81" i="11"/>
  <c r="C81" i="11"/>
  <c r="F80" i="11"/>
  <c r="C80" i="11"/>
  <c r="F79" i="11"/>
  <c r="C79" i="11"/>
  <c r="F78" i="11"/>
  <c r="C78" i="11"/>
  <c r="F77" i="11"/>
  <c r="C77" i="11"/>
  <c r="F76" i="11"/>
  <c r="C76" i="11"/>
  <c r="C44" i="16" l="1"/>
  <c r="C43" i="12"/>
  <c r="C27" i="12"/>
  <c r="G38" i="11"/>
  <c r="G81" i="11"/>
  <c r="C32" i="12"/>
  <c r="G80" i="11"/>
  <c r="C31" i="12"/>
  <c r="G78" i="11"/>
  <c r="C29" i="12"/>
  <c r="B76" i="11"/>
  <c r="B84" i="11"/>
  <c r="B87" i="11"/>
  <c r="B82" i="11"/>
  <c r="B90" i="11"/>
  <c r="B78" i="11"/>
  <c r="B86" i="11"/>
  <c r="B85" i="11"/>
  <c r="B80" i="11"/>
  <c r="B88" i="11"/>
  <c r="B83" i="11"/>
  <c r="B91" i="11"/>
  <c r="B81" i="11"/>
  <c r="B89" i="11"/>
  <c r="G77" i="11"/>
  <c r="C28" i="12"/>
  <c r="B77" i="11"/>
  <c r="B79" i="11"/>
  <c r="G79" i="11"/>
  <c r="C30" i="12"/>
  <c r="D92" i="11"/>
  <c r="G76" i="11"/>
  <c r="G2" i="3"/>
  <c r="W76" i="11" l="1"/>
  <c r="W92" i="11" s="1"/>
  <c r="W38" i="11" s="1"/>
  <c r="B18" i="12" s="1"/>
  <c r="O76" i="11"/>
  <c r="O92" i="11" s="1"/>
  <c r="O38" i="11" s="1"/>
  <c r="J76" i="11"/>
  <c r="J92" i="11" s="1"/>
  <c r="J38" i="11" s="1"/>
  <c r="V76" i="11"/>
  <c r="V92" i="11" s="1"/>
  <c r="V38" i="11" s="1"/>
  <c r="V39" i="11" s="1"/>
  <c r="F52" i="12" s="1"/>
  <c r="N76" i="11"/>
  <c r="N92" i="11" s="1"/>
  <c r="N38" i="11" s="1"/>
  <c r="N39" i="11" s="1"/>
  <c r="B52" i="12" s="1"/>
  <c r="U76" i="11"/>
  <c r="U92" i="11" s="1"/>
  <c r="U38" i="11" s="1"/>
  <c r="U39" i="11" s="1"/>
  <c r="F49" i="12" s="1"/>
  <c r="M76" i="11"/>
  <c r="M92" i="11" s="1"/>
  <c r="M38" i="11" s="1"/>
  <c r="R76" i="11"/>
  <c r="R92" i="11" s="1"/>
  <c r="R38" i="11" s="1"/>
  <c r="R39" i="11" s="1"/>
  <c r="F46" i="12" s="1"/>
  <c r="T76" i="11"/>
  <c r="T92" i="11" s="1"/>
  <c r="T38" i="11" s="1"/>
  <c r="T39" i="11" s="1"/>
  <c r="F48" i="12" s="1"/>
  <c r="L76" i="11"/>
  <c r="L92" i="11" s="1"/>
  <c r="L38" i="11" s="1"/>
  <c r="S76" i="11"/>
  <c r="S92" i="11" s="1"/>
  <c r="S38" i="11" s="1"/>
  <c r="S39" i="11" s="1"/>
  <c r="F47" i="12" s="1"/>
  <c r="K76" i="11"/>
  <c r="K92" i="11" s="1"/>
  <c r="K38" i="11" s="1"/>
  <c r="Q76" i="11"/>
  <c r="Q92" i="11" s="1"/>
  <c r="Q38" i="11" s="1"/>
  <c r="Q39" i="11" s="1"/>
  <c r="B53" i="12" s="1"/>
  <c r="I76" i="11"/>
  <c r="I92" i="11" s="1"/>
  <c r="I38" i="11" s="1"/>
  <c r="P76" i="11"/>
  <c r="P92" i="11" s="1"/>
  <c r="P38" i="11" s="1"/>
  <c r="H76" i="11"/>
  <c r="H92" i="11" s="1"/>
  <c r="H38" i="11" s="1"/>
  <c r="J12" i="11"/>
  <c r="L12" i="11"/>
  <c r="AC9" i="11"/>
  <c r="O12" i="11" s="1" a="1"/>
  <c r="O12" i="11" s="1"/>
  <c r="I12" i="11"/>
  <c r="M12" i="11"/>
  <c r="G92" i="11"/>
  <c r="E92" i="11" s="1"/>
  <c r="G40" i="11"/>
  <c r="B19" i="12" s="1"/>
  <c r="F28" i="12"/>
  <c r="B15" i="12"/>
  <c r="E38" i="11"/>
  <c r="B22" i="12" s="1"/>
  <c r="K13" i="11"/>
  <c r="D71" i="11"/>
  <c r="P4" i="11" s="1"/>
  <c r="P12" i="11" l="1" a="1"/>
  <c r="P12" i="11" s="1"/>
  <c r="P13" i="11" s="1"/>
  <c r="N12" i="11" a="1"/>
  <c r="N12" i="11" s="1"/>
  <c r="K40" i="11" s="1"/>
  <c r="J72" i="11" s="1"/>
  <c r="O13" i="11"/>
  <c r="M13" i="11"/>
  <c r="P40" i="11"/>
  <c r="I72" i="11" s="1"/>
  <c r="I13" i="11"/>
  <c r="H40" i="11"/>
  <c r="E72" i="11" s="1"/>
  <c r="L13" i="11"/>
  <c r="O40" i="11"/>
  <c r="H72" i="11" s="1"/>
  <c r="J13" i="11"/>
  <c r="I40" i="11"/>
  <c r="F72" i="11" s="1"/>
  <c r="E71" i="11"/>
  <c r="H39" i="11"/>
  <c r="B46" i="12" s="1"/>
  <c r="P39" i="11"/>
  <c r="F51" i="12" s="1"/>
  <c r="I71" i="11"/>
  <c r="K39" i="11"/>
  <c r="B49" i="12" s="1"/>
  <c r="O39" i="11"/>
  <c r="F50" i="12" s="1"/>
  <c r="H71" i="11"/>
  <c r="W39" i="11"/>
  <c r="L39" i="11"/>
  <c r="B50" i="12" s="1"/>
  <c r="F71" i="11"/>
  <c r="I39" i="11"/>
  <c r="G71" i="11"/>
  <c r="J39" i="11"/>
  <c r="B48" i="12" s="1"/>
  <c r="M39" i="11"/>
  <c r="M40" i="11" l="1"/>
  <c r="L72" i="11" s="1"/>
  <c r="N13" i="11"/>
  <c r="J71" i="11"/>
  <c r="L71" i="11"/>
  <c r="K71" i="11"/>
  <c r="L40" i="11"/>
  <c r="K72" i="11" s="1"/>
  <c r="B51" i="12"/>
  <c r="B20" i="12"/>
  <c r="B21" i="12"/>
  <c r="B47" i="12"/>
  <c r="A6" i="3"/>
  <c r="O10" i="2"/>
  <c r="O13" i="2" s="1"/>
  <c r="D61" i="2"/>
  <c r="E61" i="2"/>
  <c r="D62" i="2"/>
  <c r="E62" i="2"/>
  <c r="D63" i="2"/>
  <c r="E63" i="2"/>
  <c r="D64" i="2"/>
  <c r="E64" i="2"/>
  <c r="D65" i="2"/>
  <c r="E65" i="2"/>
  <c r="D66" i="2"/>
  <c r="E66" i="2"/>
  <c r="D67" i="2"/>
  <c r="E67" i="2"/>
  <c r="D68" i="2"/>
  <c r="E68" i="2"/>
  <c r="D69" i="2"/>
  <c r="E69" i="2"/>
  <c r="D70" i="2"/>
  <c r="E70" i="2"/>
  <c r="D71" i="2"/>
  <c r="E71" i="2"/>
  <c r="D72" i="2"/>
  <c r="E72" i="2"/>
  <c r="D73" i="2"/>
  <c r="E73" i="2"/>
  <c r="D74" i="2"/>
  <c r="E74" i="2"/>
  <c r="D75" i="2"/>
  <c r="E75" i="2"/>
  <c r="B12" i="3"/>
  <c r="B13" i="3"/>
  <c r="B14" i="3"/>
  <c r="B11" i="3"/>
  <c r="F27" i="3" l="1"/>
  <c r="D39" i="2"/>
  <c r="H77" i="2"/>
  <c r="E60" i="2"/>
  <c r="C61" i="2"/>
  <c r="C62" i="2"/>
  <c r="C63" i="2"/>
  <c r="C64" i="2"/>
  <c r="C65" i="2"/>
  <c r="C66" i="2"/>
  <c r="C67" i="2"/>
  <c r="C68" i="2"/>
  <c r="C69" i="2"/>
  <c r="C70" i="2"/>
  <c r="C71" i="2"/>
  <c r="C72" i="2"/>
  <c r="C73" i="2"/>
  <c r="C74" i="2"/>
  <c r="C75" i="2"/>
  <c r="F71" i="2"/>
  <c r="F72" i="2"/>
  <c r="F73" i="2"/>
  <c r="F74" i="2"/>
  <c r="F75" i="2"/>
  <c r="B61" i="2"/>
  <c r="F61" i="2"/>
  <c r="G61" i="2"/>
  <c r="F62" i="2"/>
  <c r="F63" i="2"/>
  <c r="F64" i="2"/>
  <c r="G64" i="2"/>
  <c r="F65" i="2"/>
  <c r="G65" i="2"/>
  <c r="F66" i="2"/>
  <c r="G66" i="2"/>
  <c r="F67" i="2"/>
  <c r="F68" i="2"/>
  <c r="F69" i="2"/>
  <c r="F70" i="2"/>
  <c r="M11" i="2"/>
  <c r="L10" i="2"/>
  <c r="M10" i="2"/>
  <c r="L11" i="2"/>
  <c r="J10" i="2"/>
  <c r="J13" i="2" s="1"/>
  <c r="R61" i="2" l="1"/>
  <c r="J61" i="2"/>
  <c r="Q61" i="2"/>
  <c r="P61" i="2"/>
  <c r="H61" i="2"/>
  <c r="I61" i="2"/>
  <c r="W61" i="2"/>
  <c r="O61" i="2"/>
  <c r="M61" i="2"/>
  <c r="K61" i="2"/>
  <c r="V61" i="2"/>
  <c r="N61" i="2"/>
  <c r="U61" i="2"/>
  <c r="T61" i="2"/>
  <c r="L61" i="2"/>
  <c r="S61" i="2"/>
  <c r="M13" i="2"/>
  <c r="L13" i="2"/>
  <c r="B65" i="2"/>
  <c r="B63" i="2"/>
  <c r="B62" i="2"/>
  <c r="B66" i="2"/>
  <c r="B64" i="2"/>
  <c r="B69" i="2"/>
  <c r="C38" i="3"/>
  <c r="G71" i="2"/>
  <c r="C41" i="3"/>
  <c r="G74" i="2"/>
  <c r="B74" i="2"/>
  <c r="C40" i="3"/>
  <c r="G73" i="2"/>
  <c r="C42" i="3"/>
  <c r="G75" i="2"/>
  <c r="B72" i="2"/>
  <c r="C34" i="3"/>
  <c r="G67" i="2"/>
  <c r="B75" i="2"/>
  <c r="B71" i="2"/>
  <c r="C37" i="3"/>
  <c r="G70" i="2"/>
  <c r="B67" i="2"/>
  <c r="B70" i="2"/>
  <c r="C36" i="3"/>
  <c r="G69" i="2"/>
  <c r="B73" i="2"/>
  <c r="C39" i="3"/>
  <c r="G72" i="2"/>
  <c r="G62" i="2"/>
  <c r="G63" i="2"/>
  <c r="C35" i="3"/>
  <c r="G68" i="2"/>
  <c r="B68" i="2"/>
  <c r="C30" i="3"/>
  <c r="C33" i="3"/>
  <c r="C32" i="3"/>
  <c r="C28" i="3"/>
  <c r="C29" i="3"/>
  <c r="C31" i="3"/>
  <c r="C27" i="3"/>
  <c r="D76" i="2"/>
  <c r="R64" i="2" l="1"/>
  <c r="J64" i="2"/>
  <c r="Q64" i="2"/>
  <c r="I64" i="2"/>
  <c r="P64" i="2"/>
  <c r="H64" i="2"/>
  <c r="W64" i="2"/>
  <c r="O64" i="2"/>
  <c r="M64" i="2"/>
  <c r="S64" i="2"/>
  <c r="V64" i="2"/>
  <c r="N64" i="2"/>
  <c r="U64" i="2"/>
  <c r="K64" i="2"/>
  <c r="T64" i="2"/>
  <c r="L64" i="2"/>
  <c r="R69" i="2"/>
  <c r="J69" i="2"/>
  <c r="Q69" i="2"/>
  <c r="I69" i="2"/>
  <c r="P69" i="2"/>
  <c r="H69" i="2"/>
  <c r="W69" i="2"/>
  <c r="O69" i="2"/>
  <c r="U69" i="2"/>
  <c r="V69" i="2"/>
  <c r="N69" i="2"/>
  <c r="M69" i="2"/>
  <c r="T69" i="2"/>
  <c r="L69" i="2"/>
  <c r="S69" i="2"/>
  <c r="K69" i="2"/>
  <c r="R62" i="2"/>
  <c r="J62" i="2"/>
  <c r="P62" i="2"/>
  <c r="H62" i="2"/>
  <c r="M62" i="2"/>
  <c r="W62" i="2"/>
  <c r="O62" i="2"/>
  <c r="U62" i="2"/>
  <c r="S62" i="2"/>
  <c r="V62" i="2"/>
  <c r="N62" i="2"/>
  <c r="K62" i="2"/>
  <c r="Q62" i="2"/>
  <c r="T62" i="2"/>
  <c r="L62" i="2"/>
  <c r="I62" i="2"/>
  <c r="R65" i="2"/>
  <c r="J65" i="2"/>
  <c r="Q65" i="2"/>
  <c r="I65" i="2"/>
  <c r="P65" i="2"/>
  <c r="H65" i="2"/>
  <c r="M65" i="2"/>
  <c r="K65" i="2"/>
  <c r="W65" i="2"/>
  <c r="O65" i="2"/>
  <c r="V65" i="2"/>
  <c r="N65" i="2"/>
  <c r="U65" i="2"/>
  <c r="T65" i="2"/>
  <c r="L65" i="2"/>
  <c r="S65" i="2"/>
  <c r="R68" i="2"/>
  <c r="J68" i="2"/>
  <c r="Q68" i="2"/>
  <c r="I68" i="2"/>
  <c r="P68" i="2"/>
  <c r="H68" i="2"/>
  <c r="U68" i="2"/>
  <c r="W68" i="2"/>
  <c r="O68" i="2"/>
  <c r="V68" i="2"/>
  <c r="N68" i="2"/>
  <c r="M68" i="2"/>
  <c r="T68" i="2"/>
  <c r="L68" i="2"/>
  <c r="S68" i="2"/>
  <c r="K68" i="2"/>
  <c r="R66" i="2"/>
  <c r="J66" i="2"/>
  <c r="Q66" i="2"/>
  <c r="I66" i="2"/>
  <c r="P66" i="2"/>
  <c r="H66" i="2"/>
  <c r="U66" i="2"/>
  <c r="W66" i="2"/>
  <c r="O66" i="2"/>
  <c r="M66" i="2"/>
  <c r="V66" i="2"/>
  <c r="N66" i="2"/>
  <c r="T66" i="2"/>
  <c r="L66" i="2"/>
  <c r="S66" i="2"/>
  <c r="K66" i="2"/>
  <c r="R63" i="2"/>
  <c r="J63" i="2"/>
  <c r="Q63" i="2"/>
  <c r="P63" i="2"/>
  <c r="H63" i="2"/>
  <c r="U63" i="2"/>
  <c r="K63" i="2"/>
  <c r="W63" i="2"/>
  <c r="O63" i="2"/>
  <c r="I63" i="2"/>
  <c r="V63" i="2"/>
  <c r="N63" i="2"/>
  <c r="M63" i="2"/>
  <c r="T63" i="2"/>
  <c r="L63" i="2"/>
  <c r="S63" i="2"/>
  <c r="R67" i="2"/>
  <c r="J67" i="2"/>
  <c r="Q67" i="2"/>
  <c r="I67" i="2"/>
  <c r="P67" i="2"/>
  <c r="H67" i="2"/>
  <c r="U67" i="2"/>
  <c r="W67" i="2"/>
  <c r="O67" i="2"/>
  <c r="V67" i="2"/>
  <c r="N67" i="2"/>
  <c r="M67" i="2"/>
  <c r="T67" i="2"/>
  <c r="L67" i="2"/>
  <c r="S67" i="2"/>
  <c r="K67" i="2"/>
  <c r="O14" i="2"/>
  <c r="G76" i="2"/>
  <c r="E76" i="2" s="1"/>
  <c r="F28" i="3"/>
  <c r="E39" i="2"/>
  <c r="B22" i="3" s="1"/>
  <c r="Q76" i="2" l="1"/>
  <c r="Q39" i="2" s="1"/>
  <c r="Q40" i="2" s="1"/>
  <c r="B53" i="3" s="1"/>
  <c r="V76" i="2"/>
  <c r="V39" i="2" s="1"/>
  <c r="V40" i="2" s="1"/>
  <c r="F52" i="3" s="1"/>
  <c r="N76" i="2"/>
  <c r="N39" i="2" s="1"/>
  <c r="N40" i="2" s="1"/>
  <c r="B52" i="3" s="1"/>
  <c r="J76" i="2"/>
  <c r="J39" i="2" s="1"/>
  <c r="G54" i="2" s="1"/>
  <c r="R76" i="2"/>
  <c r="R39" i="2" s="1"/>
  <c r="R40" i="2" s="1"/>
  <c r="F46" i="3" s="1"/>
  <c r="S76" i="2"/>
  <c r="S39" i="2" s="1"/>
  <c r="S40" i="2" s="1"/>
  <c r="F47" i="3" s="1"/>
  <c r="U76" i="2"/>
  <c r="U39" i="2" s="1"/>
  <c r="U40" i="2" s="1"/>
  <c r="F49" i="3" s="1"/>
  <c r="H76" i="2"/>
  <c r="H39" i="2" s="1"/>
  <c r="E54" i="2" s="1"/>
  <c r="I76" i="2"/>
  <c r="I39" i="2" s="1"/>
  <c r="I40" i="2" s="1"/>
  <c r="B47" i="3" s="1"/>
  <c r="P76" i="2"/>
  <c r="P39" i="2" s="1"/>
  <c r="P41" i="2" s="1"/>
  <c r="I56" i="2" s="1"/>
  <c r="K76" i="2"/>
  <c r="K39" i="2" s="1"/>
  <c r="K41" i="2" s="1"/>
  <c r="J56" i="2" s="1"/>
  <c r="M76" i="2"/>
  <c r="M39" i="2" s="1"/>
  <c r="M41" i="2" s="1"/>
  <c r="L56" i="2" s="1"/>
  <c r="L76" i="2"/>
  <c r="L39" i="2" s="1"/>
  <c r="L41" i="2" s="1"/>
  <c r="O76" i="2"/>
  <c r="O39" i="2" s="1"/>
  <c r="O41" i="2" s="1"/>
  <c r="H56" i="2" s="1"/>
  <c r="W76" i="2"/>
  <c r="W39" i="2" s="1"/>
  <c r="W40" i="2" s="1"/>
  <c r="T76" i="2"/>
  <c r="T39" i="2" s="1"/>
  <c r="T40" i="2" s="1"/>
  <c r="F48" i="3" s="1"/>
  <c r="I14" i="2"/>
  <c r="P3" i="2"/>
  <c r="J14" i="2"/>
  <c r="N14" i="2"/>
  <c r="P14" i="2"/>
  <c r="M14" i="2"/>
  <c r="K14" i="2"/>
  <c r="L14" i="2"/>
  <c r="D54" i="2"/>
  <c r="B19" i="3" s="1"/>
  <c r="J40" i="2" l="1"/>
  <c r="B48" i="3" s="1"/>
  <c r="H41" i="2"/>
  <c r="E56" i="2" s="1"/>
  <c r="K40" i="2"/>
  <c r="B49" i="3" s="1"/>
  <c r="I54" i="2"/>
  <c r="P40" i="2"/>
  <c r="F51" i="3" s="1"/>
  <c r="F54" i="2"/>
  <c r="I41" i="2"/>
  <c r="F56" i="2" s="1"/>
  <c r="B21" i="3"/>
  <c r="H42" i="2"/>
  <c r="E55" i="2" s="1"/>
  <c r="I42" i="2"/>
  <c r="F55" i="2" s="1"/>
  <c r="H40" i="2"/>
  <c r="B46" i="3" s="1"/>
  <c r="J54" i="2"/>
  <c r="K42" i="2"/>
  <c r="J55" i="2" s="1"/>
  <c r="H54" i="2"/>
  <c r="L40" i="2"/>
  <c r="B50" i="3" s="1"/>
  <c r="O40" i="2"/>
  <c r="F50" i="3" s="1"/>
  <c r="L42" i="2"/>
  <c r="K55" i="2" s="1"/>
  <c r="B18" i="3"/>
  <c r="K54" i="2"/>
  <c r="P5" i="2"/>
  <c r="M40" i="2"/>
  <c r="B51" i="3" s="1"/>
  <c r="L54" i="2"/>
  <c r="B20" i="3"/>
  <c r="M42" i="2"/>
  <c r="F33" i="3"/>
  <c r="K56" i="2"/>
  <c r="W41" i="2" l="1"/>
  <c r="P7" i="2"/>
  <c r="L55" i="2"/>
  <c r="F32" i="3"/>
  <c r="F34" i="3" s="1"/>
  <c r="P4" i="2"/>
  <c r="W42" i="2"/>
  <c r="L4" i="23"/>
  <c r="B18" i="24" s="1"/>
  <c r="D54" i="23"/>
  <c r="G40" i="23"/>
  <c r="H11" i="23"/>
  <c r="J54" i="23"/>
  <c r="H40" i="23"/>
  <c r="K11" i="23"/>
  <c r="K54" i="23"/>
  <c r="I40" i="23"/>
  <c r="J40" i="23"/>
  <c r="L11" i="23"/>
  <c r="L54" i="23"/>
  <c r="N11" i="23"/>
  <c r="H54" i="23"/>
  <c r="O11" i="23"/>
  <c r="I54" i="23"/>
  <c r="F54" i="23"/>
  <c r="E54" i="23"/>
  <c r="H22" i="29" l="1"/>
  <c r="H61" i="29" s="1"/>
  <c r="L91" i="29" l="1"/>
  <c r="M91" i="29" l="1"/>
  <c r="H26" i="29" s="1"/>
  <c r="H65" i="29" s="1"/>
  <c r="H27" i="29"/>
  <c r="H66" i="29" s="1"/>
  <c r="H21" i="29" l="1"/>
  <c r="H60" i="29" s="1"/>
  <c r="H76" i="29" s="1"/>
  <c r="H40" i="29" s="1"/>
  <c r="H42" i="29" s="1"/>
  <c r="N4" i="29" l="1"/>
  <c r="B19" i="30" s="1"/>
  <c r="H41" i="29"/>
  <c r="E54"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<sst xmlns="http://schemas.openxmlformats.org/spreadsheetml/2006/main" count="3047" uniqueCount="455">
  <si>
    <t>Cet outil de rationnement a été développé par l'ASBL Fourrages Mieux dans le cadre du projet Terraé soutenu par le plan de relance de la Wallonie.  Il est adapté aux catégories animales suivantes :</t>
  </si>
  <si>
    <r>
      <t xml:space="preserve">Bovin laitier                      </t>
    </r>
    <r>
      <rPr>
        <b/>
        <sz val="11"/>
        <color theme="9" tint="-0.499984740745262"/>
        <rFont val="Calibri"/>
        <family val="2"/>
        <scheme val="minor"/>
      </rPr>
      <t>En vert</t>
    </r>
  </si>
  <si>
    <t>VL</t>
  </si>
  <si>
    <t>Vaches laitières</t>
  </si>
  <si>
    <t>VT</t>
  </si>
  <si>
    <t>Vaches taries</t>
  </si>
  <si>
    <t>GL</t>
  </si>
  <si>
    <t>Génisses laitières</t>
  </si>
  <si>
    <r>
      <t xml:space="preserve">Bovin viandeux                                   </t>
    </r>
    <r>
      <rPr>
        <b/>
        <sz val="11"/>
        <color rgb="FFFF9900"/>
        <rFont val="Calibri"/>
        <family val="2"/>
        <scheme val="minor"/>
      </rPr>
      <t>En orange/jaune</t>
    </r>
  </si>
  <si>
    <t>TA</t>
  </si>
  <si>
    <t>Taurillons à l'ngraissement</t>
  </si>
  <si>
    <t>VA</t>
  </si>
  <si>
    <t>Vaches allaittantes</t>
  </si>
  <si>
    <t>GR</t>
  </si>
  <si>
    <t>Génisses à viande de revouvellement</t>
  </si>
  <si>
    <t>VR</t>
  </si>
  <si>
    <t>Vaches de réforme</t>
  </si>
  <si>
    <r>
      <t xml:space="preserve">Ovins    </t>
    </r>
    <r>
      <rPr>
        <b/>
        <sz val="11"/>
        <color theme="1" tint="0.499984740745262"/>
        <rFont val="Calibri"/>
        <family val="2"/>
        <scheme val="minor"/>
      </rPr>
      <t>En gris</t>
    </r>
  </si>
  <si>
    <t>BA</t>
  </si>
  <si>
    <t>Brebis allaitantes</t>
  </si>
  <si>
    <t>Chaque catégorie animale compte deux feuilles : la première permet de réaliser le calcul de ration et la seconde est un rapport imprimable en format A4.</t>
  </si>
  <si>
    <t xml:space="preserve">Pour réaliser un calcul de ration, suivez ces étapes : </t>
  </si>
  <si>
    <t>Encoder les analyses de vos fourrages  dans la feuille "Liste des aliments". Veillez à remplir toutes les colonnes affichées et à mentionner la lettre "F" en colonne B pour spécifier qu'il s'agit d'un Fourrage.</t>
  </si>
  <si>
    <t>Ouvrir la feuille de calcul correpondant à la catégorie animale qui vous interesse. (par exemple, vaches laitières = VL, vaches allaitantes = VA, etc)</t>
  </si>
  <si>
    <t>Saisir les caractériques moyennes du lot concerné (poids vif, production laitières, GMQ, etc). Ces informations permettent de calculer les besoins des animaux.</t>
  </si>
  <si>
    <t>Choisir les aliments qui composent la ration via les listes déroulantes en colonne B, ou saisir le nom de l'aliment recherché.</t>
  </si>
  <si>
    <t>Spécifier la teneur en matière sèche des aliments (une valeur suggérée s'affiche en colonne F mais n'est pas prise en compte directement, il faut la recopier en colonne E : cela permet de modifier facilement ce paramètre, sans devoir créer un nouvel aliment).</t>
  </si>
  <si>
    <t>Adapter les quantités de chaque aliment dans la limite de la capacité d'ingestion, en respectant les équilibres et les indicateurs de sécurité.</t>
  </si>
  <si>
    <r>
      <rPr>
        <b/>
        <sz val="12"/>
        <color theme="1"/>
        <rFont val="Congenial"/>
      </rPr>
      <t>UN outil, DEUX systèmes</t>
    </r>
    <r>
      <rPr>
        <sz val="12"/>
        <color theme="1"/>
        <rFont val="Congenial"/>
      </rPr>
      <t xml:space="preserve"> d'évaluation des besoins (néérlandais et français)</t>
    </r>
  </si>
  <si>
    <t>Les deux principaux systèmes d'évaluation des besoins nutritionnels en Wallonie sont intégrés dans cet outil : le système VEM/DVE néerlandais et le système UF/PDI, développé en France par l’INRAE. Le système VEM/DVE est plutôt adapté aux besoins des animaux laitiers en production intensive, tandis que le système UF/PDI est mieux adapté aux systèmes d'élevage moins intensif, notamment pour les races allaitantes.
Pour les animaux laitiers et les taurillons à l'engraissement, les besoins sont exprimés dans les unités des deux systèmes afin de répondre aux différentes pratiques des éleveurs. Pour les vaches allaitantes, les génisses de renouvellement et les vaches de réforme destinées à la viande, seul le système français UF/PDI est utilisé. Ce choix s'explique par le fait que le système UF/PDI offre une meilleure précision pour ce type de bétail, beaucoup moins courant dans les élevages néerlandais.</t>
  </si>
  <si>
    <t>Références et tables utilisées</t>
  </si>
  <si>
    <t>Tables CVB (bovins, ovins, caprins)</t>
  </si>
  <si>
    <t>Tables INRA (bovins, ovins, caprins)</t>
  </si>
  <si>
    <t>FeedTables</t>
  </si>
  <si>
    <t>Guide de l’alimentation pratique du troupeau bovin allaitant, Institut de l'élevage (2014)</t>
  </si>
  <si>
    <t>Les valeurs sont exprimées par kg de MS pour les fourrages et assimilés (racines, tubercles, coproduits humides etc)</t>
  </si>
  <si>
    <t>Les valeurs sont exprimées en kg brut pour les concentrés secs et minéraux.</t>
  </si>
  <si>
    <t>Lien vers FeedTables pour connaitre les valeurs d'autres aliments secs</t>
  </si>
  <si>
    <t>Code</t>
  </si>
  <si>
    <t>Type (F/C/M)</t>
  </si>
  <si>
    <t>Nom</t>
  </si>
  <si>
    <t>MS %</t>
  </si>
  <si>
    <t>VEM</t>
  </si>
  <si>
    <t>VEVI</t>
  </si>
  <si>
    <t>DVE</t>
  </si>
  <si>
    <t xml:space="preserve">OEB </t>
  </si>
  <si>
    <t>UFL</t>
  </si>
  <si>
    <t>UFV</t>
  </si>
  <si>
    <t>PDIN</t>
  </si>
  <si>
    <t>PDIE</t>
  </si>
  <si>
    <t>PBT</t>
  </si>
  <si>
    <t>Ca</t>
  </si>
  <si>
    <t xml:space="preserve">P </t>
  </si>
  <si>
    <t>Sucre</t>
  </si>
  <si>
    <t>Amidon</t>
  </si>
  <si>
    <t>Cellulose</t>
  </si>
  <si>
    <t>NDF</t>
  </si>
  <si>
    <t>ADF</t>
  </si>
  <si>
    <t>ADL</t>
  </si>
  <si>
    <t>MG</t>
  </si>
  <si>
    <t>BACA</t>
  </si>
  <si>
    <t>UEM</t>
  </si>
  <si>
    <t>C</t>
  </si>
  <si>
    <t>Amidon de maïs</t>
  </si>
  <si>
    <t>Avoine</t>
  </si>
  <si>
    <t>Blé tendre</t>
  </si>
  <si>
    <t>Coques de soja</t>
  </si>
  <si>
    <t>Féverole</t>
  </si>
  <si>
    <t>Epeautre</t>
  </si>
  <si>
    <t>Huile de soja</t>
  </si>
  <si>
    <t>Luzerne déshydratée, protéines 16-18 % sur sec</t>
  </si>
  <si>
    <t>Luzerne déshydratée, protéines 17-19 % sur sec</t>
  </si>
  <si>
    <t>Luzerne déshydratée, protéines 19-22 % sur sec</t>
  </si>
  <si>
    <t>Luzerne déshydratée, protéines 22-25 % sur sec</t>
  </si>
  <si>
    <t>Luzerne déshydratée, protéines &lt; 16 % sur sec</t>
  </si>
  <si>
    <t>Maïs</t>
  </si>
  <si>
    <t>Orge</t>
  </si>
  <si>
    <t>Pois</t>
  </si>
  <si>
    <t>Pulpe de betterave déshydratée</t>
  </si>
  <si>
    <t>Radicelles d'orge de brasserie déshydratées</t>
  </si>
  <si>
    <t>Seigle</t>
  </si>
  <si>
    <t>Son de blé dur</t>
  </si>
  <si>
    <t>Son de blé tendre</t>
  </si>
  <si>
    <t>Tourteau de cameline, huile &gt; 5 %</t>
  </si>
  <si>
    <t>Glutenfeed de blé (20% amidon)</t>
  </si>
  <si>
    <t>Drêches de distillerie de maïs (DDGS Proticorn)</t>
  </si>
  <si>
    <t>Tourteau de colza gras (14%)</t>
  </si>
  <si>
    <t>Tourteau de colza, huile &lt; 5%</t>
  </si>
  <si>
    <t>Tourteau de colza tanné</t>
  </si>
  <si>
    <t>Colza tanné (hydro-thermique + pression)</t>
  </si>
  <si>
    <t>Tourteau de germes de maïs, huile &lt; 5%</t>
  </si>
  <si>
    <t>Tourteau de lin, huile &lt; 5%</t>
  </si>
  <si>
    <t>Tourteau de lin, huile &gt; 5%</t>
  </si>
  <si>
    <t>Tourteau de palmiste, huile 5-20%</t>
  </si>
  <si>
    <t>Tourteau de palmiste, huile &lt; 5 %</t>
  </si>
  <si>
    <t>Tourteau de soja, huile 5-20 %</t>
  </si>
  <si>
    <t>Tourteau de soja, huile &lt; 5%, 46% protéine + huile</t>
  </si>
  <si>
    <t>Tourteau de soja, huile &lt; 5%, 48% protéine + huile</t>
  </si>
  <si>
    <t>Tourteau de soja, huile &lt; 5%, 48% protéine + huile, extrudé</t>
  </si>
  <si>
    <t>Tourteau de soja, huile &lt; 5%, 48% protéine + huile, tanné au formol</t>
  </si>
  <si>
    <t>Tourteau de soja, huile &lt; 5%, 50% protéine + huile</t>
  </si>
  <si>
    <t>Tourteau de tournesol, huile 5-20 %, décortiqué</t>
  </si>
  <si>
    <t>Tourteau de tournesol, huile 5-20 %, non décortiqué</t>
  </si>
  <si>
    <t>Tourteau de tournesol, huile &lt; 5%, décortiqué</t>
  </si>
  <si>
    <t>Tourteau de tournesol, huile &lt; 5%, non décortiqué</t>
  </si>
  <si>
    <t>Triticale</t>
  </si>
  <si>
    <t>Graine de lin</t>
  </si>
  <si>
    <t>Lupin blanc</t>
  </si>
  <si>
    <t>F</t>
  </si>
  <si>
    <t>Betteraves fourragères</t>
  </si>
  <si>
    <t>Carottes</t>
  </si>
  <si>
    <t>Drêches de brasserie</t>
  </si>
  <si>
    <t>F&amp;C de betteraves sucrières</t>
  </si>
  <si>
    <t>Fanes de pois</t>
  </si>
  <si>
    <t>Foin excellent</t>
  </si>
  <si>
    <t>Foin de luzerne</t>
  </si>
  <si>
    <t>Foin bon</t>
  </si>
  <si>
    <t>Rumiplus</t>
  </si>
  <si>
    <t>Foin PN (fin juin)</t>
  </si>
  <si>
    <t>Herbe ensilée 23%CB</t>
  </si>
  <si>
    <t>Herbe ensilée 24% CB</t>
  </si>
  <si>
    <t>Herbe ensilée 27% CB</t>
  </si>
  <si>
    <t>Herbe ensilée 31% CB</t>
  </si>
  <si>
    <t>Herbe fraiche bonne</t>
  </si>
  <si>
    <t>Herbe fraiche d'automne</t>
  </si>
  <si>
    <t>Herbe fraiche de printemps</t>
  </si>
  <si>
    <t>Herbe fraiche d'été</t>
  </si>
  <si>
    <t>Herbe fraiche très bonne</t>
  </si>
  <si>
    <t>Mais ensilé 30%</t>
  </si>
  <si>
    <t>Mais épis complets</t>
  </si>
  <si>
    <t>Paille de blé</t>
  </si>
  <si>
    <t>Paille de pois</t>
  </si>
  <si>
    <t>Paille d'orge</t>
  </si>
  <si>
    <t>Purée-pelures de pomme de terre</t>
  </si>
  <si>
    <t>Pommes de terre</t>
  </si>
  <si>
    <t>Pulpes betteraves surpressées</t>
  </si>
  <si>
    <t>Pulpes de better. Humides</t>
  </si>
  <si>
    <t>Mélasse de betterave</t>
  </si>
  <si>
    <t>M</t>
  </si>
  <si>
    <t>Bicarbonate de sodium</t>
  </si>
  <si>
    <t>Carbonate de calcium</t>
  </si>
  <si>
    <t>Sel</t>
  </si>
  <si>
    <t>Oxyde de magnésium</t>
  </si>
  <si>
    <t>Phosphate monocalcique</t>
  </si>
  <si>
    <t>Urée</t>
  </si>
  <si>
    <t>Minéral 24/2</t>
  </si>
  <si>
    <t>Minéral 25/0</t>
  </si>
  <si>
    <t>Minéral 15/5</t>
  </si>
  <si>
    <t xml:space="preserve">Minéral 20/5 </t>
  </si>
  <si>
    <t>Chlorure de magnésium</t>
  </si>
  <si>
    <t>Chlorure de calcium</t>
  </si>
  <si>
    <t>Eau</t>
  </si>
  <si>
    <t>Blé - Féveroles aliplus (50-50)</t>
  </si>
  <si>
    <t>HIPRO 58</t>
  </si>
  <si>
    <t>Correcteur lin-soja (75-25)</t>
  </si>
  <si>
    <t>Tourteaux de soja pression bio 7%MG 42-44% prot</t>
  </si>
  <si>
    <t>Analyse</t>
  </si>
  <si>
    <r>
      <t>Seules les cellules jaunes sont à modifier !</t>
    </r>
    <r>
      <rPr>
        <b/>
        <sz val="11"/>
        <color rgb="FF000080"/>
        <rFont val="Courr"/>
      </rPr>
      <t xml:space="preserve">                        </t>
    </r>
    <r>
      <rPr>
        <sz val="11"/>
        <color rgb="FF000080"/>
        <rFont val="Courr"/>
      </rPr>
      <t xml:space="preserve"> </t>
    </r>
    <r>
      <rPr>
        <u/>
        <sz val="11"/>
        <color rgb="FF000080"/>
        <rFont val="Courr"/>
      </rPr>
      <t>Les nouveaux aliments doivent être encodés dans la feuille "liste des aliments" à la suite des aliments existants</t>
    </r>
  </si>
  <si>
    <t>Nom de la FERME</t>
  </si>
  <si>
    <t>Ingestion</t>
  </si>
  <si>
    <t>Taux de couverture des besoins et production permise</t>
  </si>
  <si>
    <t>Nom de la ration</t>
  </si>
  <si>
    <t>Solde alimentaire</t>
  </si>
  <si>
    <t>Conseiller</t>
  </si>
  <si>
    <t>PDI / UFL</t>
  </si>
  <si>
    <t>Vaches laitières / Besoins</t>
  </si>
  <si>
    <r>
      <t>PL</t>
    </r>
    <r>
      <rPr>
        <vertAlign val="subscript"/>
        <sz val="11"/>
        <color theme="1"/>
        <rFont val="Arial"/>
        <family val="2"/>
      </rPr>
      <t>moy NL_FR</t>
    </r>
  </si>
  <si>
    <t>Poids vif (kg)</t>
  </si>
  <si>
    <t>Calcul des besoins</t>
  </si>
  <si>
    <t>MS (kg)</t>
  </si>
  <si>
    <t>DVE (g)</t>
  </si>
  <si>
    <t>OEB</t>
  </si>
  <si>
    <t>Ca (g)</t>
  </si>
  <si>
    <t>P (g)</t>
  </si>
  <si>
    <t>kg lait/jour</t>
  </si>
  <si>
    <t xml:space="preserve">Entretien </t>
  </si>
  <si>
    <t>TB (%)</t>
  </si>
  <si>
    <t>Production</t>
  </si>
  <si>
    <t>TP (%)</t>
  </si>
  <si>
    <t>Croissance</t>
  </si>
  <si>
    <r>
      <t>Prix de vente du lait (€/1000L</t>
    </r>
    <r>
      <rPr>
        <sz val="8"/>
        <color theme="1"/>
        <rFont val="Arial"/>
        <family val="2"/>
      </rPr>
      <t>taux réels</t>
    </r>
    <r>
      <rPr>
        <sz val="11"/>
        <color theme="1"/>
        <rFont val="Arial"/>
        <family val="2"/>
      </rPr>
      <t>)</t>
    </r>
  </si>
  <si>
    <t>TOTAL</t>
  </si>
  <si>
    <t>N° lactation</t>
  </si>
  <si>
    <t>&gt;2</t>
  </si>
  <si>
    <t>Concentration</t>
  </si>
  <si>
    <t>kg lait standard (4,0% ; 3,3%)</t>
  </si>
  <si>
    <t>Aliments de la ration</t>
  </si>
  <si>
    <t>Type</t>
  </si>
  <si>
    <t>kg bruts</t>
  </si>
  <si>
    <t>%MS réel</t>
  </si>
  <si>
    <t>%MS suggéré</t>
  </si>
  <si>
    <t>kg MS</t>
  </si>
  <si>
    <t>Sucres</t>
  </si>
  <si>
    <t>Cellulose brute</t>
  </si>
  <si>
    <t xml:space="preserve">Prix </t>
  </si>
  <si>
    <t>Résultat</t>
  </si>
  <si>
    <t>Indicateurs de sécurité</t>
  </si>
  <si>
    <t xml:space="preserve">%MS </t>
  </si>
  <si>
    <t>CB</t>
  </si>
  <si>
    <t>Apports totaux</t>
  </si>
  <si>
    <t>Concentration de la ration (/kgMS)</t>
  </si>
  <si>
    <t>Lait standard permis par la ration</t>
  </si>
  <si>
    <t>Lait (taux réels) permis par la ration</t>
  </si>
  <si>
    <t>MIN</t>
  </si>
  <si>
    <t>MAX</t>
  </si>
  <si>
    <t>Interprétation des couleurs</t>
  </si>
  <si>
    <t>&lt;93% de l'objectif</t>
  </si>
  <si>
    <t>93 à 98% de l'objectif</t>
  </si>
  <si>
    <t>&gt;98% de l'objectif</t>
  </si>
  <si>
    <t>Besoins par litre de lait</t>
  </si>
  <si>
    <t>Satisfaction des besoins</t>
  </si>
  <si>
    <t>P</t>
  </si>
  <si>
    <t>taux réels</t>
  </si>
  <si>
    <t>taux standard (4,0-3,3)</t>
  </si>
  <si>
    <t>Apports/besoins</t>
  </si>
  <si>
    <t>Taux de conversion prot métabolisable en protéines secrétées</t>
  </si>
  <si>
    <t>Lait permis (taux réels)</t>
  </si>
  <si>
    <t>PDI</t>
  </si>
  <si>
    <t>Lait permis (taux standards)</t>
  </si>
  <si>
    <t>Position litrage dans le graphique</t>
  </si>
  <si>
    <t>%MS</t>
  </si>
  <si>
    <t xml:space="preserve">Prix* </t>
  </si>
  <si>
    <t xml:space="preserve">Besoins de croissance </t>
  </si>
  <si>
    <t>Jersey ?</t>
  </si>
  <si>
    <t>ASBL Fourrages Mieux</t>
  </si>
  <si>
    <t>Horritine, 3 (Michamps)</t>
  </si>
  <si>
    <t>B-6600 Bastogne</t>
  </si>
  <si>
    <t>Objectifs de la ration</t>
  </si>
  <si>
    <t>Production de lait (l/jour)</t>
  </si>
  <si>
    <t>TB (g/L)</t>
  </si>
  <si>
    <t>TP (g/L)</t>
  </si>
  <si>
    <t xml:space="preserve">Race </t>
  </si>
  <si>
    <t>Résultats synthétiques</t>
  </si>
  <si>
    <t>Coût (€/v/j)</t>
  </si>
  <si>
    <t>Ingestion (%)</t>
  </si>
  <si>
    <t>PDIE/UFL</t>
  </si>
  <si>
    <t>DVE/kVEM</t>
  </si>
  <si>
    <t>Matière sèche de la ration (%)</t>
  </si>
  <si>
    <t>Libellé</t>
  </si>
  <si>
    <t>TOTAL brut</t>
  </si>
  <si>
    <t>kg/v/j</t>
  </si>
  <si>
    <t>TOTAL MS</t>
  </si>
  <si>
    <t>Solde alimentaire théorique</t>
  </si>
  <si>
    <r>
      <t>Revenu lait</t>
    </r>
    <r>
      <rPr>
        <vertAlign val="superscript"/>
        <sz val="10"/>
        <color theme="1"/>
        <rFont val="Calibri"/>
        <family val="2"/>
        <scheme val="minor"/>
      </rPr>
      <t>1</t>
    </r>
  </si>
  <si>
    <t>/v/j</t>
  </si>
  <si>
    <t>Coût ration</t>
  </si>
  <si>
    <t xml:space="preserve">Solde </t>
  </si>
  <si>
    <r>
      <rPr>
        <i/>
        <vertAlign val="superscript"/>
        <sz val="8"/>
        <color theme="1"/>
        <rFont val="Calibri"/>
        <family val="2"/>
        <scheme val="minor"/>
      </rPr>
      <t xml:space="preserve">1 </t>
    </r>
    <r>
      <rPr>
        <i/>
        <sz val="8"/>
        <color theme="1"/>
        <rFont val="Calibri"/>
        <family val="2"/>
        <scheme val="minor"/>
      </rPr>
      <t>prix du lait (€/1000L) :</t>
    </r>
  </si>
  <si>
    <t>Concentration de la ration par kg de matière sèche</t>
  </si>
  <si>
    <t>g</t>
  </si>
  <si>
    <t>Protéine brute</t>
  </si>
  <si>
    <t>Matière grasse</t>
  </si>
  <si>
    <t>Commentaires</t>
  </si>
  <si>
    <t>La production permise par la ration est exprimée en litres de lait avec les taux réels, pour un troupeau proche de 150 JEL.</t>
  </si>
  <si>
    <r>
      <t>Seules les cellules jaunes sont à modifier !</t>
    </r>
    <r>
      <rPr>
        <sz val="11"/>
        <color rgb="FF000080"/>
        <rFont val="Courr"/>
      </rPr>
      <t xml:space="preserve">                         </t>
    </r>
    <r>
      <rPr>
        <u/>
        <sz val="11"/>
        <color rgb="FF000080"/>
        <rFont val="Courr"/>
      </rPr>
      <t>Les nouveaux aliments doivent être encodés dans la feuille "liste des aliments" à la suite des aliments existants</t>
    </r>
  </si>
  <si>
    <t>Mois de gestation</t>
  </si>
  <si>
    <t xml:space="preserve">BACA </t>
  </si>
  <si>
    <t>Vaches taries / Besoins</t>
  </si>
  <si>
    <t>Gestation</t>
  </si>
  <si>
    <t>-100/-200</t>
  </si>
  <si>
    <t>Taux de couverture des besoins</t>
  </si>
  <si>
    <t>,</t>
  </si>
  <si>
    <t>Lait permis</t>
  </si>
  <si>
    <t>BACA (mEq/kg MS)</t>
  </si>
  <si>
    <t>mEq</t>
  </si>
  <si>
    <t xml:space="preserve">Tableau des GMQ selon l'objectif d'âge au vêlage et l'âge </t>
  </si>
  <si>
    <t>GMQ</t>
  </si>
  <si>
    <t>Génisse laitière / Besoins</t>
  </si>
  <si>
    <t>Age (mois)</t>
  </si>
  <si>
    <t>Objectif  âge au 1er vêlage (mois)</t>
  </si>
  <si>
    <t>Objectif  poids vif adulte (kg)</t>
  </si>
  <si>
    <r>
      <t>Poids vif théorique (kg)</t>
    </r>
    <r>
      <rPr>
        <sz val="11"/>
        <color rgb="FFC00000"/>
        <rFont val="Arial"/>
        <family val="2"/>
      </rPr>
      <t>*</t>
    </r>
  </si>
  <si>
    <r>
      <t>GMQ attendu (g)</t>
    </r>
    <r>
      <rPr>
        <sz val="11"/>
        <color rgb="FFC00000"/>
        <rFont val="Arial"/>
        <family val="2"/>
      </rPr>
      <t>*</t>
    </r>
  </si>
  <si>
    <r>
      <rPr>
        <sz val="9"/>
        <color rgb="FFC00000"/>
        <rFont val="Arial"/>
        <family val="2"/>
      </rPr>
      <t>*</t>
    </r>
    <r>
      <rPr>
        <sz val="8"/>
        <color rgb="FFC00000"/>
        <rFont val="Arial"/>
        <family val="2"/>
      </rPr>
      <t xml:space="preserve"> </t>
    </r>
    <r>
      <rPr>
        <sz val="8"/>
        <rFont val="Arial"/>
        <family val="2"/>
      </rPr>
      <t xml:space="preserve">calculé selon l'âge et l'âge au premier vêlage </t>
    </r>
  </si>
  <si>
    <t>Inteprétation des couleurs</t>
  </si>
  <si>
    <t>Poids vif théorique (kg)</t>
  </si>
  <si>
    <t>GMQ attendu (g)</t>
  </si>
  <si>
    <t>Coût (€/tête/j)</t>
  </si>
  <si>
    <t>Matière sèche (%)</t>
  </si>
  <si>
    <t>kg/génisse/j</t>
  </si>
  <si>
    <t>kgMS/100kgPV</t>
  </si>
  <si>
    <t>Rmic</t>
  </si>
  <si>
    <t>PDI/UF</t>
  </si>
  <si>
    <t>Taurillons à l'engraisssement / Besoins</t>
  </si>
  <si>
    <t>Race</t>
  </si>
  <si>
    <t>Blond d'aquitaine</t>
  </si>
  <si>
    <t>Besoins</t>
  </si>
  <si>
    <t>Catégorie</t>
  </si>
  <si>
    <t>Croissance (GMQ - g/j)</t>
  </si>
  <si>
    <t>Prix de vente (€/kg carc)</t>
  </si>
  <si>
    <t>Aubrac</t>
  </si>
  <si>
    <t>Intermédiaire</t>
  </si>
  <si>
    <t>BBB</t>
  </si>
  <si>
    <t>Tardif (Ci-)</t>
  </si>
  <si>
    <t xml:space="preserve">Objectifs </t>
  </si>
  <si>
    <t>Charolais</t>
  </si>
  <si>
    <t>Tardif</t>
  </si>
  <si>
    <t>Précoce</t>
  </si>
  <si>
    <t>a</t>
  </si>
  <si>
    <t>Poids vif</t>
  </si>
  <si>
    <t>Hostein</t>
  </si>
  <si>
    <t>b</t>
  </si>
  <si>
    <t>Limousin</t>
  </si>
  <si>
    <t>c</t>
  </si>
  <si>
    <t>code</t>
  </si>
  <si>
    <t>Montbéliard</t>
  </si>
  <si>
    <t>d</t>
  </si>
  <si>
    <t>Normand</t>
  </si>
  <si>
    <t>Salers</t>
  </si>
  <si>
    <t>CI</t>
  </si>
  <si>
    <t>Constante</t>
  </si>
  <si>
    <t>Poid vif</t>
  </si>
  <si>
    <t>CI INRA</t>
  </si>
  <si>
    <t>CI corr</t>
  </si>
  <si>
    <t>MS INRA</t>
  </si>
  <si>
    <t>Coût (€/bête/j)</t>
  </si>
  <si>
    <t>PDIE/UFV</t>
  </si>
  <si>
    <t>DVE/kVEVI</t>
  </si>
  <si>
    <t>kg/bête/j</t>
  </si>
  <si>
    <t>Vaches allaitantes / Besoins</t>
  </si>
  <si>
    <t>Production laitière selon mois de gestation</t>
  </si>
  <si>
    <t>UEB</t>
  </si>
  <si>
    <r>
      <t>Rmic</t>
    </r>
    <r>
      <rPr>
        <b/>
        <sz val="8"/>
        <color theme="0" tint="-0.34998626667073579"/>
        <rFont val="Arial"/>
        <family val="2"/>
      </rPr>
      <t>min</t>
    </r>
  </si>
  <si>
    <t>Poids Adulte</t>
  </si>
  <si>
    <t xml:space="preserve">≤ 5 </t>
  </si>
  <si>
    <t>Stade</t>
  </si>
  <si>
    <t>Bes UFL</t>
  </si>
  <si>
    <t>N° de lactation</t>
  </si>
  <si>
    <t>Activité</t>
  </si>
  <si>
    <t>Iact</t>
  </si>
  <si>
    <t>NEC</t>
  </si>
  <si>
    <t>En lactation</t>
  </si>
  <si>
    <t>-</t>
  </si>
  <si>
    <t>Pâturage</t>
  </si>
  <si>
    <t>Gestante tarie</t>
  </si>
  <si>
    <t>Stab. Entravée</t>
  </si>
  <si>
    <t>Blonde d'aquitaine</t>
  </si>
  <si>
    <t>Stab. Libre</t>
  </si>
  <si>
    <t>&gt;3</t>
  </si>
  <si>
    <t>Limousine</t>
  </si>
  <si>
    <t>Poids adulte (kg)</t>
  </si>
  <si>
    <t>Parthenaise</t>
  </si>
  <si>
    <r>
      <t>Production laitière (kg/j)</t>
    </r>
    <r>
      <rPr>
        <sz val="11"/>
        <color rgb="FFFF0000"/>
        <rFont val="Arial"/>
        <family val="2"/>
      </rPr>
      <t>*</t>
    </r>
  </si>
  <si>
    <t>Rouge des prés</t>
  </si>
  <si>
    <r>
      <rPr>
        <sz val="8"/>
        <color rgb="FFFF0000"/>
        <rFont val="Arial"/>
        <family val="2"/>
      </rPr>
      <t>*</t>
    </r>
    <r>
      <rPr>
        <sz val="8"/>
        <rFont val="Arial"/>
        <family val="2"/>
      </rPr>
      <t>estimé selon la race et mois de lactation</t>
    </r>
  </si>
  <si>
    <t>CI limité ?</t>
  </si>
  <si>
    <t>Formule CI</t>
  </si>
  <si>
    <t>Coeff</t>
  </si>
  <si>
    <t>Irace</t>
  </si>
  <si>
    <t>Istade</t>
  </si>
  <si>
    <t>Ipar</t>
  </si>
  <si>
    <t>Inote</t>
  </si>
  <si>
    <t>Formule UFL</t>
  </si>
  <si>
    <t>Iactvité</t>
  </si>
  <si>
    <t>Besoins PDI</t>
  </si>
  <si>
    <t>Rapport PDI/UF</t>
  </si>
  <si>
    <t>Statut</t>
  </si>
  <si>
    <t>Stade de la gestation (mois)</t>
  </si>
  <si>
    <t>Production laitière (kg/j)</t>
  </si>
  <si>
    <t>Génisse Viandeuse Renouvellement / Besoins</t>
  </si>
  <si>
    <r>
      <t xml:space="preserve">Race </t>
    </r>
    <r>
      <rPr>
        <sz val="8"/>
        <color theme="1"/>
        <rFont val="Arial"/>
        <family val="2"/>
      </rPr>
      <t>(influence la CI)</t>
    </r>
  </si>
  <si>
    <t>Maine Anjou</t>
  </si>
  <si>
    <r>
      <t xml:space="preserve">Rmic </t>
    </r>
    <r>
      <rPr>
        <b/>
        <sz val="8"/>
        <color theme="0" tint="-0.34998626667073579"/>
        <rFont val="Arial"/>
        <family val="2"/>
      </rPr>
      <t>min</t>
    </r>
  </si>
  <si>
    <t>GMQ (g/j)</t>
  </si>
  <si>
    <t>Type CI</t>
  </si>
  <si>
    <t>Vaches de réforme en finition / Besoins</t>
  </si>
  <si>
    <r>
      <t>Rmic</t>
    </r>
    <r>
      <rPr>
        <b/>
        <sz val="8"/>
        <color theme="0" tint="-0.34998626667073579"/>
        <rFont val="Arial"/>
        <family val="2"/>
      </rPr>
      <t xml:space="preserve"> min</t>
    </r>
  </si>
  <si>
    <r>
      <t xml:space="preserve">Concentration </t>
    </r>
    <r>
      <rPr>
        <sz val="8"/>
        <color theme="0" tint="-0.34998626667073579"/>
        <rFont val="Arial"/>
        <family val="2"/>
      </rPr>
      <t>(/kg MS)</t>
    </r>
  </si>
  <si>
    <t>Âge (en années)</t>
  </si>
  <si>
    <t>Format*</t>
  </si>
  <si>
    <t>Grande</t>
  </si>
  <si>
    <t>*selon hauteur au garrot : 110-120, 120-130, 130-140, 140-150 cm</t>
  </si>
  <si>
    <t>Format</t>
  </si>
  <si>
    <t>Coef corectif</t>
  </si>
  <si>
    <t>Âge</t>
  </si>
  <si>
    <t>Mini</t>
  </si>
  <si>
    <t>Petite</t>
  </si>
  <si>
    <t>Moyenne</t>
  </si>
  <si>
    <t xml:space="preserve">[]/kg MS </t>
  </si>
  <si>
    <t>Cellulose Brute</t>
  </si>
  <si>
    <t>(Ingestion kg MS)</t>
  </si>
  <si>
    <t>Ingestion UEM</t>
  </si>
  <si>
    <t>Brebis allaitantes / Besoins</t>
  </si>
  <si>
    <t>PLAGES</t>
  </si>
  <si>
    <t>Poids vif à la mise bas (kg)</t>
  </si>
  <si>
    <t>30-80</t>
  </si>
  <si>
    <r>
      <t>Rmic</t>
    </r>
    <r>
      <rPr>
        <b/>
        <vertAlign val="subscript"/>
        <sz val="11"/>
        <color theme="0" tint="-0.34998626667073579"/>
        <rFont val="Arial"/>
        <family val="2"/>
      </rPr>
      <t>min</t>
    </r>
  </si>
  <si>
    <t>Note d'état corporel à l'agnelage (NEC)*</t>
  </si>
  <si>
    <t>Stade de lactation (semaines)</t>
  </si>
  <si>
    <t>4 à 6</t>
  </si>
  <si>
    <t>GMQ de la portée entre 10 et 30 jours (g/j)</t>
  </si>
  <si>
    <t>150 - 550</t>
  </si>
  <si>
    <t>Lactation</t>
  </si>
  <si>
    <t>Température ambiante bergerie</t>
  </si>
  <si>
    <t>Mobilisation</t>
  </si>
  <si>
    <t>Consommation de lait par la portée (L/j)</t>
  </si>
  <si>
    <t>Variation NEC (0 - 6 semaines)</t>
  </si>
  <si>
    <t>Déficit max tolérable</t>
  </si>
  <si>
    <t>Perte état 0-6s</t>
  </si>
  <si>
    <t>S1 -S3</t>
  </si>
  <si>
    <t>S4 - S6</t>
  </si>
  <si>
    <t>Stade de lactation</t>
  </si>
  <si>
    <t>Lait</t>
  </si>
  <si>
    <t>CI MS</t>
  </si>
  <si>
    <t>CI UEM</t>
  </si>
  <si>
    <t>Corr_poids</t>
  </si>
  <si>
    <t>Corr_nec</t>
  </si>
  <si>
    <t>Corr_maigre</t>
  </si>
  <si>
    <t xml:space="preserve">UEM </t>
  </si>
  <si>
    <t>0 à 3</t>
  </si>
  <si>
    <t>0 à 6 sem</t>
  </si>
  <si>
    <t>7 à 10</t>
  </si>
  <si>
    <t>11 à 14</t>
  </si>
  <si>
    <t>std.code</t>
  </si>
  <si>
    <t>ncol</t>
  </si>
  <si>
    <t>UEMf moy</t>
  </si>
  <si>
    <t>Sg []</t>
  </si>
  <si>
    <t>NEC agnelage</t>
  </si>
  <si>
    <t>GMQ de la portée entre 10 et 30 j</t>
  </si>
  <si>
    <t>Ingestion UEM (%)</t>
  </si>
  <si>
    <t>Ingestion MS (%)</t>
  </si>
  <si>
    <r>
      <t>Seules les cellules jaunes sont à modifier !</t>
    </r>
    <r>
      <rPr>
        <b/>
        <sz val="11"/>
        <color rgb="FF000080"/>
        <rFont val="Courr"/>
      </rPr>
      <t xml:space="preserve">                        </t>
    </r>
    <r>
      <rPr>
        <sz val="11"/>
        <color rgb="FF000080"/>
        <rFont val="Courr"/>
      </rPr>
      <t xml:space="preserve"> </t>
    </r>
    <r>
      <rPr>
        <u/>
        <sz val="11"/>
        <color rgb="FF000080"/>
        <rFont val="Courr"/>
      </rPr>
      <t>Les nouveaux aliments doivent être encodés dans la feuille "liste des aliments" à partir de la ligne 104</t>
    </r>
  </si>
  <si>
    <t>Consulter les tables des besoins et reporter les valeurs dans le table à droite. (Lien vers les tables ci-dessous)</t>
  </si>
  <si>
    <t xml:space="preserve"> </t>
  </si>
  <si>
    <t xml:space="preserve">Gains de croissance réalisables selon poids vif </t>
  </si>
  <si>
    <t>e</t>
  </si>
  <si>
    <t>f</t>
  </si>
  <si>
    <t>h</t>
  </si>
  <si>
    <t>i</t>
  </si>
  <si>
    <t>j</t>
  </si>
  <si>
    <t>k</t>
  </si>
  <si>
    <t>Besoins selon type, PV et GMQ</t>
  </si>
  <si>
    <t>A rechercher</t>
  </si>
  <si>
    <t>Concat</t>
  </si>
  <si>
    <t>CI (kg MS)</t>
  </si>
  <si>
    <t>GMQ Max à ce poids = 1400</t>
  </si>
  <si>
    <t>GMQ Max à ce poids = 1200</t>
  </si>
  <si>
    <t>GMQ Max à ce poids = 1000</t>
  </si>
  <si>
    <t>Poids vif MAX = 600 kg</t>
  </si>
  <si>
    <t>*</t>
  </si>
  <si>
    <t>Contact</t>
  </si>
  <si>
    <t>Stifkens Antoine</t>
  </si>
  <si>
    <t>stifkens@fourragesmieux.be</t>
  </si>
  <si>
    <t>*1 = très maigre ; 5 = très bon état</t>
  </si>
  <si>
    <t>Aliment du commerce 15% MAT</t>
  </si>
  <si>
    <t>Aliment du commerce 17% MAT</t>
  </si>
  <si>
    <t>Aliment du commerce 21% MAT</t>
  </si>
  <si>
    <t>Aliment du commerce 18% MAT</t>
  </si>
  <si>
    <t xml:space="preserve">Correcteur du commerce 35% MAT </t>
  </si>
  <si>
    <t>Aliment de production équilibré</t>
  </si>
  <si>
    <t>Correcteur du commerce 44% MAT</t>
  </si>
  <si>
    <t>Aliment robot 23% MAT</t>
  </si>
  <si>
    <t>ALLMASH engraissement</t>
  </si>
  <si>
    <t>Correcteur du commerce 35% MAT</t>
  </si>
  <si>
    <t>Correcteur du commerce 33% MAT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</si>
</sst>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7" formatCode="#,##0.00\ &quot;€&quot;;\-#,##0.00\ &quot;€&quot;"/>
    <numFmt numFmtId="44" formatCode="_-* #,##0.00\ &quot;€&quot;_-;\-* #,##0.00\ &quot;€&quot;_-;_-* &quot;-&quot;??\ &quot;€&quot;_-;_-@_-"/>
    <numFmt numFmtId="43" formatCode="_-* #,##0.00_-;\-* #,##0.00_-;_-* &quot;-&quot;??_-;_-@_-"/>
    <numFmt numFmtId="164" formatCode="0.0"/>
    <numFmt numFmtId="165" formatCode="0.000"/>
    <numFmt numFmtId="166" formatCode="0.0%"/>
    <numFmt numFmtId="167" formatCode="0.0\ \L"/>
    <numFmt numFmtId="168" formatCode="[$-F800]dddd\,\ mmmm\ dd\,\ yyyy"/>
    <numFmt numFmtId="169" formatCode="0.0000"/>
    <numFmt numFmtId="170" formatCode="[$-80C]d\ mmmm\ yyyy;@"/>
    <numFmt numFmtId="171" formatCode="_-* #,##0.000\ &quot;€&quot;_-;\-* #,##0.000\ &quot;€&quot;_-;_-* &quot;-&quot;??\ &quot;€&quot;_-;_-@_-"/>
    <numFmt numFmtId="172" formatCode="\(###\)"/>
    <numFmt numFmtId="173" formatCode="#,##0.00\ [$€-80C];\-#,##0.00\ [$€-80C]"/>
    <numFmt numFmtId="174" formatCode="#,##0_ ;\-#,##0\ "/>
    <numFmt numFmtId="175" formatCode="#,##0.0_ ;\-#,##0.0\ "/>
    <numFmt numFmtId="176" formatCode="_-* #,##0.0_-;\-* #,##0.0_-;_-* &quot;-&quot;??_-;_-@_-"/>
    <numFmt numFmtId="177" formatCode="#,##0.00\ &quot;€&quot;"/>
    <numFmt numFmtId="178" formatCode="0\ \°\C"/>
    <numFmt numFmtId="179" formatCode="_-* #,##0_-;\-* #,##0_-;_-* &quot;-&quot;??_-;_-@_-"/>
    <numFmt numFmtId="180" formatCode="_-* #,##0.00\ _€_-;\-* #,##0.00\ _€_-;_-* &quot;-&quot;??\ _€_-;_-@_-"/>
    <numFmt numFmtId="181" formatCode="0.00000"/>
  </numFmts>
  <fonts count="91">
    <font>
      <sz val="11"/>
      <color theme="1"/>
      <name val="Calibri"/>
      <family val="2"/>
      <scheme val="minor"/>
    </font>
    <font>
      <sz val="11"/>
      <color theme="1"/>
      <name val="Calibri"/>
      <family val="2"/>
      <scheme val="minor"/>
    </font>
    <font>
      <sz val="11"/>
      <color theme="1"/>
      <name val="Arial"/>
      <family val="2"/>
    </font>
    <font>
      <b/>
      <sz val="11"/>
      <color theme="1"/>
      <name val="Arial"/>
      <family val="2"/>
    </font>
    <font>
      <b/>
      <sz val="11"/>
      <color rgb="FF000080"/>
      <name val="Arial"/>
      <family val="2"/>
    </font>
    <font>
      <u/>
      <sz val="11"/>
      <color theme="10"/>
      <name val="Calibri"/>
      <family val="2"/>
      <scheme val="minor"/>
    </font>
    <font>
      <sz val="9"/>
      <name val="Calibri"/>
      <family val="2"/>
      <scheme val="minor"/>
    </font>
    <font>
      <sz val="9"/>
      <color theme="1"/>
      <name val="Calibri"/>
      <family val="2"/>
      <scheme val="minor"/>
    </font>
    <font>
      <b/>
      <sz val="12"/>
      <color theme="1"/>
      <name val="Arial"/>
      <family val="2"/>
    </font>
    <font>
      <b/>
      <sz val="11"/>
      <color theme="1"/>
      <name val="Calibri"/>
      <family val="2"/>
      <scheme val="minor"/>
    </font>
    <font>
      <sz val="11"/>
      <color theme="1"/>
      <name val="Corbel"/>
      <family val="2"/>
    </font>
    <font>
      <sz val="11"/>
      <color theme="1"/>
      <name val="ADLaM Display"/>
    </font>
    <font>
      <sz val="11"/>
      <color theme="1"/>
      <name val="Aptos Light"/>
      <family val="2"/>
    </font>
    <font>
      <sz val="9"/>
      <color theme="1"/>
      <name val="Arial"/>
      <family val="2"/>
    </font>
    <font>
      <b/>
      <sz val="12"/>
      <color theme="1"/>
      <name val="Cavolini"/>
      <family val="4"/>
    </font>
    <font>
      <sz val="11"/>
      <color rgb="FF000080"/>
      <name val="Calibri"/>
      <family val="2"/>
      <scheme val="minor"/>
    </font>
    <font>
      <b/>
      <sz val="12"/>
      <color theme="0" tint="-0.34998626667073579"/>
      <name val="Arial"/>
      <family val="2"/>
    </font>
    <font>
      <sz val="11"/>
      <color theme="0" tint="-0.34998626667073579"/>
      <name val="Arial"/>
      <family val="2"/>
    </font>
    <font>
      <b/>
      <sz val="11"/>
      <color theme="0" tint="-0.34998626667073579"/>
      <name val="Arial"/>
      <family val="2"/>
    </font>
    <font>
      <sz val="9"/>
      <color theme="1"/>
      <name val="Calibri Light"/>
      <family val="2"/>
      <scheme val="major"/>
    </font>
    <font>
      <sz val="9"/>
      <color rgb="FF000000"/>
      <name val="Calibri Light"/>
      <family val="2"/>
      <scheme val="major"/>
    </font>
    <font>
      <sz val="10"/>
      <color theme="1"/>
      <name val="Calibri"/>
      <family val="2"/>
      <scheme val="minor"/>
    </font>
    <font>
      <sz val="10"/>
      <color theme="1"/>
      <name val="Arial"/>
      <family val="2"/>
    </font>
    <font>
      <b/>
      <sz val="18"/>
      <color theme="1"/>
      <name val="Calibri"/>
      <family val="2"/>
      <scheme val="minor"/>
    </font>
    <font>
      <b/>
      <u/>
      <sz val="11"/>
      <color rgb="FF000080"/>
      <name val="Courr"/>
    </font>
    <font>
      <u/>
      <sz val="11"/>
      <color rgb="FF000080"/>
      <name val="Courr"/>
    </font>
    <font>
      <b/>
      <sz val="11"/>
      <color rgb="FF000080"/>
      <name val="Courr"/>
    </font>
    <font>
      <sz val="11"/>
      <color rgb="FF000080"/>
      <name val="Courr"/>
    </font>
    <font>
      <sz val="10"/>
      <color theme="0" tint="-0.34998626667073579"/>
      <name val="Arial"/>
      <family val="2"/>
    </font>
    <font>
      <b/>
      <sz val="10"/>
      <color theme="0" tint="-0.34998626667073579"/>
      <name val="Arial"/>
      <family val="2"/>
    </font>
    <font>
      <b/>
      <sz val="11"/>
      <color rgb="FFC00000"/>
      <name val="Arial"/>
      <family val="2"/>
    </font>
    <font>
      <sz val="10"/>
      <color rgb="FFC00000"/>
      <name val="Arial"/>
      <family val="2"/>
    </font>
    <font>
      <b/>
      <u/>
      <sz val="12"/>
      <color theme="1"/>
      <name val="Arial"/>
      <family val="2"/>
    </font>
    <font>
      <sz val="8"/>
      <color theme="1"/>
      <name val="Arial"/>
      <family val="2"/>
    </font>
    <font>
      <b/>
      <sz val="10"/>
      <color theme="1"/>
      <name val="Calibri"/>
      <family val="2"/>
      <scheme val="minor"/>
    </font>
    <font>
      <i/>
      <sz val="11"/>
      <color theme="1"/>
      <name val="Arial"/>
      <family val="2"/>
    </font>
    <font>
      <i/>
      <sz val="9"/>
      <color rgb="FFC00000"/>
      <name val="Arial"/>
      <family val="2"/>
    </font>
    <font>
      <sz val="11"/>
      <color rgb="FFC00000"/>
      <name val="Arial"/>
      <family val="2"/>
    </font>
    <font>
      <sz val="9"/>
      <color rgb="FFC00000"/>
      <name val="Arial"/>
      <family val="2"/>
    </font>
    <font>
      <sz val="8"/>
      <color rgb="FFC00000"/>
      <name val="Arial"/>
      <family val="2"/>
    </font>
    <font>
      <sz val="8"/>
      <name val="Arial"/>
      <family val="2"/>
    </font>
    <font>
      <sz val="8"/>
      <name val="Calibri"/>
      <family val="2"/>
      <scheme val="minor"/>
    </font>
    <font>
      <sz val="11"/>
      <name val="Arial"/>
      <family val="2"/>
    </font>
    <font>
      <b/>
      <sz val="11"/>
      <name val="Arial"/>
      <family val="2"/>
    </font>
    <font>
      <i/>
      <sz val="8"/>
      <color theme="1"/>
      <name val="Arial"/>
      <family val="2"/>
    </font>
    <font>
      <vertAlign val="superscript"/>
      <sz val="10"/>
      <color theme="1"/>
      <name val="Calibri"/>
      <family val="2"/>
      <scheme val="minor"/>
    </font>
    <font>
      <i/>
      <sz val="9"/>
      <color theme="1"/>
      <name val="Calibri"/>
      <family val="2"/>
      <scheme val="minor"/>
    </font>
    <font>
      <i/>
      <sz val="8"/>
      <color theme="1"/>
      <name val="Calibri"/>
      <family val="2"/>
      <scheme val="minor"/>
    </font>
    <font>
      <i/>
      <vertAlign val="superscript"/>
      <sz val="8"/>
      <color theme="1"/>
      <name val="Calibri"/>
      <family val="2"/>
      <scheme val="minor"/>
    </font>
    <font>
      <i/>
      <sz val="11"/>
      <color theme="1"/>
      <name val="Calibri"/>
      <family val="2"/>
      <scheme val="minor"/>
    </font>
    <font>
      <sz val="9"/>
      <name val="Arial"/>
      <family val="2"/>
    </font>
    <font>
      <b/>
      <sz val="8"/>
      <color theme="0" tint="-0.34998626667073579"/>
      <name val="Arial"/>
      <family val="2"/>
    </font>
    <font>
      <sz val="8"/>
      <color theme="0" tint="-0.34998626667073579"/>
      <name val="Arial"/>
      <family val="2"/>
    </font>
    <font>
      <sz val="11"/>
      <name val="Calibri"/>
      <family val="2"/>
      <scheme val="minor"/>
    </font>
    <font>
      <i/>
      <sz val="10"/>
      <color theme="1"/>
      <name val="Arial"/>
      <family val="2"/>
    </font>
    <font>
      <sz val="8"/>
      <color rgb="FFFF0000"/>
      <name val="Arial"/>
      <family val="2"/>
    </font>
    <font>
      <sz val="11"/>
      <color rgb="FFFF0000"/>
      <name val="Arial"/>
      <family val="2"/>
    </font>
    <font>
      <sz val="10"/>
      <name val="Arial"/>
      <family val="2"/>
    </font>
    <font>
      <vertAlign val="subscript"/>
      <sz val="11"/>
      <color theme="1"/>
      <name val="Arial"/>
      <family val="2"/>
    </font>
    <font>
      <b/>
      <sz val="14"/>
      <color theme="1"/>
      <name val="Tenorite"/>
    </font>
    <font>
      <b/>
      <sz val="11"/>
      <color theme="0"/>
      <name val="Calibri"/>
      <family val="2"/>
      <scheme val="minor"/>
    </font>
    <font>
      <sz val="11"/>
      <color theme="0"/>
      <name val="Calibri"/>
      <family val="2"/>
      <scheme val="minor"/>
    </font>
    <font>
      <sz val="11"/>
      <color theme="0"/>
      <name val="Arial"/>
      <family val="2"/>
    </font>
    <font>
      <b/>
      <sz val="12"/>
      <color theme="0"/>
      <name val="Arial"/>
      <family val="2"/>
    </font>
    <font>
      <b/>
      <sz val="11"/>
      <color theme="0"/>
      <name val="Arial"/>
      <family val="2"/>
    </font>
    <font>
      <b/>
      <sz val="8"/>
      <color theme="0"/>
      <name val="Arial"/>
      <family val="2"/>
    </font>
    <font>
      <b/>
      <sz val="10"/>
      <color theme="0"/>
      <name val="Arial"/>
      <family val="2"/>
    </font>
    <font>
      <sz val="8"/>
      <color theme="0"/>
      <name val="Arial"/>
      <family val="2"/>
    </font>
    <font>
      <sz val="10"/>
      <color theme="0"/>
      <name val="Arial"/>
      <family val="2"/>
    </font>
    <font>
      <i/>
      <sz val="11"/>
      <color theme="0"/>
      <name val="Arial"/>
      <family val="2"/>
    </font>
    <font>
      <sz val="11"/>
      <color theme="0"/>
      <name val="ADLaM Display"/>
    </font>
    <font>
      <sz val="11"/>
      <color theme="0"/>
      <name val="Aptos Light"/>
      <family val="2"/>
    </font>
    <font>
      <sz val="11"/>
      <color theme="0" tint="-0.499984740745262"/>
      <name val="Arial"/>
      <family val="2"/>
    </font>
    <font>
      <b/>
      <sz val="11"/>
      <color theme="0" tint="-0.499984740745262"/>
      <name val="Arial"/>
      <family val="2"/>
    </font>
    <font>
      <sz val="11"/>
      <color theme="0" tint="-0.499984740745262"/>
      <name val="Calibri"/>
      <family val="2"/>
      <scheme val="minor"/>
    </font>
    <font>
      <i/>
      <sz val="10"/>
      <color theme="0"/>
      <name val="Arial"/>
      <family val="2"/>
    </font>
    <font>
      <sz val="11"/>
      <color theme="1" tint="0.34998626667073579"/>
      <name val="Arial"/>
      <family val="2"/>
    </font>
    <font>
      <sz val="11"/>
      <color theme="1" tint="4.9989318521683403E-2"/>
      <name val="Arial"/>
      <family val="2"/>
    </font>
    <font>
      <i/>
      <u/>
      <sz val="8"/>
      <color theme="1"/>
      <name val="Arial"/>
      <family val="2"/>
    </font>
    <font>
      <b/>
      <sz val="11"/>
      <color rgb="FFFF0000"/>
      <name val="Arial"/>
      <family val="2"/>
    </font>
    <font>
      <sz val="9"/>
      <color theme="0" tint="-0.34998626667073579"/>
      <name val="Arial"/>
      <family val="2"/>
    </font>
    <font>
      <b/>
      <vertAlign val="subscript"/>
      <sz val="11"/>
      <color theme="0" tint="-0.34998626667073579"/>
      <name val="Arial"/>
      <family val="2"/>
    </font>
    <font>
      <i/>
      <sz val="9"/>
      <color theme="0"/>
      <name val="Arial"/>
      <family val="2"/>
    </font>
    <font>
      <b/>
      <sz val="11"/>
      <color theme="9" tint="-0.499984740745262"/>
      <name val="Calibri"/>
      <family val="2"/>
      <scheme val="minor"/>
    </font>
    <font>
      <b/>
      <sz val="11"/>
      <color rgb="FFFF9900"/>
      <name val="Calibri"/>
      <family val="2"/>
      <scheme val="minor"/>
    </font>
    <font>
      <b/>
      <sz val="11"/>
      <color theme="1" tint="0.499984740745262"/>
      <name val="Calibri"/>
      <family val="2"/>
      <scheme val="minor"/>
    </font>
    <font>
      <sz val="12"/>
      <color theme="1"/>
      <name val="Congenial"/>
    </font>
    <font>
      <b/>
      <sz val="12"/>
      <color theme="1"/>
      <name val="Congenial"/>
    </font>
    <font>
      <sz val="9"/>
      <color theme="0"/>
      <name val="Arial"/>
      <family val="2"/>
    </font>
    <font>
      <sz val="8"/>
      <color rgb="FF000000"/>
      <name val="Segoe UI"/>
      <family val="2"/>
    </font>
    <font>
      <sz val="11"/>
      <color theme="1"/>
      <name val="Aptos Display"/>
      <family val="2"/>
    </font>
  </fonts>
  <fills count="20">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FF66"/>
        <bgColor indexed="64"/>
      </patternFill>
    </fill>
    <fill>
      <patternFill patternType="solid">
        <fgColor rgb="FFFFFF00"/>
        <bgColor indexed="64"/>
      </patternFill>
    </fill>
    <fill>
      <patternFill patternType="solid">
        <fgColor theme="6" tint="0.79998168889431442"/>
        <bgColor indexed="64"/>
      </patternFill>
    </fill>
    <fill>
      <patternFill patternType="solid">
        <fgColor rgb="FFFFF2CC"/>
        <bgColor indexed="64"/>
      </patternFill>
    </fill>
    <fill>
      <patternFill patternType="solid">
        <fgColor rgb="FF6CA52D"/>
        <bgColor indexed="64"/>
      </patternFill>
    </fill>
    <fill>
      <patternFill patternType="solid">
        <fgColor rgb="FF9CD45E"/>
        <bgColor indexed="64"/>
      </patternFill>
    </fill>
    <fill>
      <patternFill patternType="solid">
        <fgColor rgb="FFCCE9AD"/>
        <bgColor indexed="64"/>
      </patternFill>
    </fill>
    <fill>
      <patternFill patternType="solid">
        <fgColor rgb="FFFF9900"/>
        <bgColor indexed="64"/>
      </patternFill>
    </fill>
    <fill>
      <patternFill patternType="solid">
        <fgColor rgb="FFFFC000"/>
        <bgColor indexed="64"/>
      </patternFill>
    </fill>
    <fill>
      <patternFill patternType="solid">
        <fgColor rgb="FFFCEB6A"/>
        <bgColor indexed="64"/>
      </patternFill>
    </fill>
    <fill>
      <patternFill patternType="solid">
        <fgColor rgb="FFFEFCCE"/>
        <bgColor indexed="64"/>
      </patternFill>
    </fill>
    <fill>
      <patternFill patternType="solid">
        <fgColor theme="0" tint="-0.14999847407452621"/>
        <bgColor indexed="64"/>
      </patternFill>
    </fill>
    <fill>
      <patternFill patternType="solid">
        <fgColor theme="9" tint="0.79998168889431442"/>
        <bgColor indexed="64"/>
      </patternFill>
    </fill>
  </fills>
  <borders count="6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right/>
      <top style="hair">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style="thick">
        <color theme="6" tint="0.79995117038483843"/>
      </left>
      <right/>
      <top style="thick">
        <color theme="6" tint="0.79995117038483843"/>
      </top>
      <bottom/>
      <diagonal/>
    </border>
    <border>
      <left/>
      <right/>
      <top style="thick">
        <color theme="6" tint="0.79995117038483843"/>
      </top>
      <bottom/>
      <diagonal/>
    </border>
    <border>
      <left/>
      <right style="thick">
        <color theme="6" tint="0.79995117038483843"/>
      </right>
      <top style="thick">
        <color theme="6" tint="0.79995117038483843"/>
      </top>
      <bottom/>
      <diagonal/>
    </border>
    <border>
      <left style="thick">
        <color theme="6" tint="0.79995117038483843"/>
      </left>
      <right/>
      <top style="thick">
        <color theme="6" tint="0.79992065187536243"/>
      </top>
      <bottom style="thick">
        <color theme="6" tint="0.79995117038483843"/>
      </bottom>
      <diagonal/>
    </border>
    <border>
      <left/>
      <right/>
      <top style="thick">
        <color theme="6" tint="0.79992065187536243"/>
      </top>
      <bottom style="thick">
        <color theme="6" tint="0.79995117038483843"/>
      </bottom>
      <diagonal/>
    </border>
    <border>
      <left/>
      <right style="thick">
        <color theme="6" tint="0.79995117038483843"/>
      </right>
      <top style="thick">
        <color theme="6" tint="0.79992065187536243"/>
      </top>
      <bottom style="thick">
        <color theme="6" tint="0.79995117038483843"/>
      </bottom>
      <diagonal/>
    </border>
    <border>
      <left style="thick">
        <color theme="6" tint="0.79998168889431442"/>
      </left>
      <right/>
      <top style="thick">
        <color theme="6" tint="0.79998168889431442"/>
      </top>
      <bottom style="thick">
        <color theme="6" tint="0.79998168889431442"/>
      </bottom>
      <diagonal/>
    </border>
    <border>
      <left/>
      <right style="thick">
        <color theme="6" tint="0.79998168889431442"/>
      </right>
      <top style="thick">
        <color theme="6" tint="0.79998168889431442"/>
      </top>
      <bottom style="thick">
        <color theme="6" tint="0.79998168889431442"/>
      </bottom>
      <diagonal/>
    </border>
    <border>
      <left/>
      <right/>
      <top style="hair">
        <color indexed="64"/>
      </top>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
      <left style="thick">
        <color theme="6" tint="0.79995117038483843"/>
      </left>
      <right/>
      <top/>
      <bottom/>
      <diagonal/>
    </border>
    <border>
      <left/>
      <right style="thin">
        <color indexed="64"/>
      </right>
      <top/>
      <bottom style="medium">
        <color indexed="64"/>
      </bottom>
      <diagonal/>
    </border>
  </borders>
  <cellStyleXfs count="5">
    <xf numFmtId="0" fontId="0" fillId="0" borderId="0"/>
    <xf numFmtId="9" fontId="1" fillId="0" borderId="0" applyFont="0" applyFill="0" applyBorder="0" applyAlignment="0" applyProtection="0"/>
    <xf numFmtId="0" fontId="5"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807">
    <xf numFmtId="0" fontId="0" fillId="0" borderId="0" xfId="0"/>
    <xf numFmtId="0" fontId="2" fillId="0" borderId="0" xfId="0" applyFont="1"/>
    <xf numFmtId="0" fontId="3" fillId="0" borderId="0" xfId="0" applyFont="1"/>
    <xf numFmtId="164" fontId="2" fillId="0" borderId="7" xfId="0" applyNumberFormat="1" applyFont="1" applyBorder="1" applyAlignment="1">
      <alignment horizontal="center"/>
    </xf>
    <xf numFmtId="1" fontId="2" fillId="0" borderId="7" xfId="0" applyNumberFormat="1" applyFont="1" applyBorder="1" applyAlignment="1">
      <alignment horizontal="center"/>
    </xf>
    <xf numFmtId="0" fontId="2" fillId="0" borderId="0" xfId="0" applyFont="1" applyAlignment="1">
      <alignment vertical="center" wrapText="1"/>
    </xf>
    <xf numFmtId="2" fontId="0" fillId="0" borderId="0" xfId="0" applyNumberFormat="1"/>
    <xf numFmtId="164" fontId="2" fillId="0" borderId="17" xfId="0" applyNumberFormat="1" applyFont="1" applyBorder="1" applyAlignment="1">
      <alignment horizontal="center"/>
    </xf>
    <xf numFmtId="2" fontId="2" fillId="0" borderId="17" xfId="0" applyNumberFormat="1" applyFont="1" applyBorder="1" applyAlignment="1">
      <alignment horizontal="center"/>
    </xf>
    <xf numFmtId="1" fontId="2" fillId="0" borderId="17" xfId="0" applyNumberFormat="1" applyFont="1" applyBorder="1" applyAlignment="1">
      <alignment horizontal="center"/>
    </xf>
    <xf numFmtId="2" fontId="2" fillId="0" borderId="7" xfId="0" applyNumberFormat="1" applyFont="1" applyBorder="1" applyAlignment="1">
      <alignment horizontal="center"/>
    </xf>
    <xf numFmtId="0" fontId="8" fillId="0" borderId="0" xfId="0" applyFont="1"/>
    <xf numFmtId="1" fontId="2" fillId="0" borderId="0" xfId="0" applyNumberFormat="1" applyFont="1" applyAlignment="1">
      <alignment horizontal="center"/>
    </xf>
    <xf numFmtId="164" fontId="2" fillId="0" borderId="0" xfId="0" applyNumberFormat="1" applyFont="1" applyAlignment="1">
      <alignment horizontal="center"/>
    </xf>
    <xf numFmtId="2" fontId="2" fillId="0" borderId="0" xfId="0" applyNumberFormat="1" applyFont="1" applyAlignment="1">
      <alignment horizontal="center"/>
    </xf>
    <xf numFmtId="0" fontId="13" fillId="0" borderId="7" xfId="0" applyFont="1" applyBorder="1" applyAlignment="1">
      <alignment horizontal="center"/>
    </xf>
    <xf numFmtId="0" fontId="3" fillId="0" borderId="14" xfId="0" applyFont="1" applyBorder="1" applyAlignment="1">
      <alignment horizontal="center" vertical="center"/>
    </xf>
    <xf numFmtId="164" fontId="3" fillId="0" borderId="7" xfId="0" applyNumberFormat="1" applyFont="1" applyBorder="1" applyAlignment="1">
      <alignment horizontal="center" vertical="center"/>
    </xf>
    <xf numFmtId="0" fontId="17" fillId="0" borderId="0" xfId="0" applyFont="1"/>
    <xf numFmtId="0" fontId="19" fillId="0" borderId="0" xfId="0" applyFont="1" applyAlignment="1">
      <alignment vertical="center"/>
    </xf>
    <xf numFmtId="0" fontId="20" fillId="0" borderId="0" xfId="0" applyFont="1" applyAlignment="1">
      <alignment vertical="center"/>
    </xf>
    <xf numFmtId="0" fontId="9" fillId="0" borderId="9" xfId="0" applyFont="1" applyBorder="1"/>
    <xf numFmtId="0" fontId="21" fillId="0" borderId="9" xfId="0" applyFont="1" applyBorder="1"/>
    <xf numFmtId="0" fontId="21" fillId="0" borderId="0" xfId="0" applyFont="1"/>
    <xf numFmtId="0" fontId="21" fillId="0" borderId="0" xfId="0" applyFont="1" applyAlignment="1">
      <alignment horizontal="right"/>
    </xf>
    <xf numFmtId="164" fontId="21" fillId="0" borderId="0" xfId="0" applyNumberFormat="1" applyFont="1" applyAlignment="1">
      <alignment horizontal="right"/>
    </xf>
    <xf numFmtId="0" fontId="21" fillId="0" borderId="9" xfId="0" applyFont="1" applyBorder="1" applyAlignment="1">
      <alignment horizontal="right"/>
    </xf>
    <xf numFmtId="44" fontId="21" fillId="0" borderId="0" xfId="3" applyFont="1" applyAlignment="1">
      <alignment horizontal="right"/>
    </xf>
    <xf numFmtId="1" fontId="21" fillId="0" borderId="0" xfId="0" applyNumberFormat="1" applyFont="1" applyAlignment="1">
      <alignment horizontal="right"/>
    </xf>
    <xf numFmtId="164" fontId="21" fillId="0" borderId="0" xfId="0" applyNumberFormat="1" applyFont="1"/>
    <xf numFmtId="2" fontId="21" fillId="0" borderId="0" xfId="0" applyNumberFormat="1" applyFont="1"/>
    <xf numFmtId="0" fontId="7" fillId="0" borderId="9" xfId="0" applyFont="1" applyBorder="1"/>
    <xf numFmtId="0" fontId="7" fillId="0" borderId="0" xfId="0" applyFont="1"/>
    <xf numFmtId="2" fontId="7" fillId="0" borderId="0" xfId="0" applyNumberFormat="1" applyFont="1"/>
    <xf numFmtId="0" fontId="21" fillId="0" borderId="24" xfId="0" applyFont="1" applyBorder="1"/>
    <xf numFmtId="0" fontId="21" fillId="0" borderId="28" xfId="0" applyFont="1" applyBorder="1"/>
    <xf numFmtId="164" fontId="21" fillId="0" borderId="17" xfId="0" applyNumberFormat="1" applyFont="1" applyBorder="1" applyAlignment="1">
      <alignment horizontal="center"/>
    </xf>
    <xf numFmtId="164" fontId="21" fillId="0" borderId="9" xfId="0" applyNumberFormat="1" applyFont="1" applyBorder="1" applyAlignment="1">
      <alignment horizontal="center"/>
    </xf>
    <xf numFmtId="0" fontId="21" fillId="0" borderId="23" xfId="0" applyFont="1" applyBorder="1"/>
    <xf numFmtId="0" fontId="21" fillId="0" borderId="27" xfId="0" applyFont="1" applyBorder="1"/>
    <xf numFmtId="168" fontId="7" fillId="0" borderId="0" xfId="0" applyNumberFormat="1" applyFont="1"/>
    <xf numFmtId="0" fontId="0" fillId="0" borderId="9" xfId="0" applyBorder="1"/>
    <xf numFmtId="0" fontId="19" fillId="0" borderId="0" xfId="0" applyFont="1"/>
    <xf numFmtId="0" fontId="2" fillId="2" borderId="0" xfId="0" applyFont="1" applyFill="1"/>
    <xf numFmtId="0" fontId="2" fillId="0" borderId="14" xfId="0" applyFont="1" applyBorder="1" applyAlignment="1">
      <alignment horizontal="center" vertical="center"/>
    </xf>
    <xf numFmtId="1" fontId="7" fillId="0" borderId="0" xfId="0" applyNumberFormat="1" applyFont="1" applyAlignment="1">
      <alignment horizontal="right"/>
    </xf>
    <xf numFmtId="2" fontId="7" fillId="0" borderId="0" xfId="0" applyNumberFormat="1" applyFont="1" applyAlignment="1">
      <alignment horizontal="right"/>
    </xf>
    <xf numFmtId="164" fontId="7" fillId="0" borderId="0" xfId="0" applyNumberFormat="1" applyFont="1" applyAlignment="1">
      <alignment horizontal="right"/>
    </xf>
    <xf numFmtId="0" fontId="7" fillId="0" borderId="17" xfId="0" applyFont="1" applyBorder="1"/>
    <xf numFmtId="0" fontId="7" fillId="0" borderId="24" xfId="0" applyFont="1" applyBorder="1"/>
    <xf numFmtId="0" fontId="0" fillId="0" borderId="25" xfId="0" applyBorder="1"/>
    <xf numFmtId="0" fontId="7" fillId="0" borderId="26" xfId="0" applyFont="1" applyBorder="1"/>
    <xf numFmtId="0" fontId="7" fillId="0" borderId="25" xfId="0" applyFont="1" applyBorder="1" applyAlignment="1">
      <alignment horizontal="center" vertical="center" wrapText="1"/>
    </xf>
    <xf numFmtId="0" fontId="7" fillId="0" borderId="27" xfId="0" applyFont="1" applyBorder="1" applyAlignment="1">
      <alignment horizontal="center" vertical="center" wrapText="1"/>
    </xf>
    <xf numFmtId="1" fontId="7" fillId="0" borderId="9" xfId="0" applyNumberFormat="1" applyFont="1" applyBorder="1" applyAlignment="1">
      <alignment horizontal="right"/>
    </xf>
    <xf numFmtId="0" fontId="0" fillId="0" borderId="28" xfId="0" applyBorder="1"/>
    <xf numFmtId="164" fontId="2" fillId="0" borderId="14" xfId="0" applyNumberFormat="1" applyFont="1" applyBorder="1" applyAlignment="1">
      <alignment horizontal="center" vertical="center"/>
    </xf>
    <xf numFmtId="1" fontId="2" fillId="0" borderId="14" xfId="0" applyNumberFormat="1" applyFont="1" applyBorder="1" applyAlignment="1">
      <alignment horizontal="center" vertical="center"/>
    </xf>
    <xf numFmtId="2" fontId="2" fillId="0" borderId="14" xfId="0" applyNumberFormat="1" applyFont="1" applyBorder="1" applyAlignment="1">
      <alignment horizontal="center" vertical="center"/>
    </xf>
    <xf numFmtId="0" fontId="2" fillId="0" borderId="1" xfId="0" applyFont="1" applyBorder="1" applyAlignment="1">
      <alignment horizontal="center"/>
    </xf>
    <xf numFmtId="0" fontId="2" fillId="0" borderId="2" xfId="0" applyFont="1" applyBorder="1" applyAlignment="1">
      <alignment horizontal="center"/>
    </xf>
    <xf numFmtId="0" fontId="2" fillId="2" borderId="2" xfId="0" applyFont="1" applyFill="1" applyBorder="1" applyAlignment="1">
      <alignment horizontal="center"/>
    </xf>
    <xf numFmtId="0" fontId="2" fillId="0" borderId="3" xfId="0" applyFont="1" applyBorder="1" applyAlignment="1">
      <alignment horizontal="center"/>
    </xf>
    <xf numFmtId="2" fontId="3" fillId="0" borderId="29" xfId="0" applyNumberFormat="1" applyFont="1" applyBorder="1" applyAlignment="1">
      <alignment horizontal="center" vertical="center"/>
    </xf>
    <xf numFmtId="0" fontId="0" fillId="0" borderId="17" xfId="0" applyBorder="1"/>
    <xf numFmtId="0" fontId="0" fillId="0" borderId="24" xfId="0" applyBorder="1"/>
    <xf numFmtId="0" fontId="0" fillId="0" borderId="26" xfId="0" applyBorder="1"/>
    <xf numFmtId="0" fontId="0" fillId="0" borderId="27" xfId="0" applyBorder="1"/>
    <xf numFmtId="2" fontId="9" fillId="0" borderId="0" xfId="0" applyNumberFormat="1" applyFont="1"/>
    <xf numFmtId="0" fontId="0" fillId="0" borderId="38" xfId="0" applyBorder="1"/>
    <xf numFmtId="2" fontId="9" fillId="0" borderId="38" xfId="0" applyNumberFormat="1" applyFont="1" applyBorder="1"/>
    <xf numFmtId="2" fontId="0" fillId="0" borderId="38" xfId="0" applyNumberFormat="1" applyBorder="1"/>
    <xf numFmtId="0" fontId="9" fillId="0" borderId="37" xfId="0" applyFont="1" applyBorder="1" applyAlignment="1">
      <alignment horizontal="center" vertical="center"/>
    </xf>
    <xf numFmtId="0" fontId="4" fillId="0" borderId="0" xfId="0" applyFont="1"/>
    <xf numFmtId="2" fontId="3" fillId="0" borderId="8" xfId="0" applyNumberFormat="1" applyFont="1" applyBorder="1" applyAlignment="1">
      <alignment horizontal="center" vertical="center"/>
    </xf>
    <xf numFmtId="1" fontId="3" fillId="5" borderId="14" xfId="0" applyNumberFormat="1" applyFont="1" applyFill="1" applyBorder="1" applyAlignment="1">
      <alignment horizontal="center" vertical="center"/>
    </xf>
    <xf numFmtId="1" fontId="2" fillId="2" borderId="14" xfId="0" applyNumberFormat="1" applyFont="1" applyFill="1" applyBorder="1" applyAlignment="1">
      <alignment horizontal="center" vertical="center"/>
    </xf>
    <xf numFmtId="14" fontId="7" fillId="0" borderId="0" xfId="0" applyNumberFormat="1" applyFont="1"/>
    <xf numFmtId="0" fontId="34" fillId="0" borderId="23" xfId="0" applyFont="1" applyBorder="1"/>
    <xf numFmtId="0" fontId="34" fillId="0" borderId="23" xfId="0" applyFont="1" applyBorder="1" applyAlignment="1">
      <alignment horizontal="left" vertical="center" wrapText="1"/>
    </xf>
    <xf numFmtId="1" fontId="21" fillId="0" borderId="0" xfId="0" applyNumberFormat="1" applyFont="1"/>
    <xf numFmtId="0" fontId="0" fillId="0" borderId="39" xfId="0" applyBorder="1"/>
    <xf numFmtId="2" fontId="0" fillId="0" borderId="39" xfId="0" applyNumberFormat="1" applyBorder="1"/>
    <xf numFmtId="0" fontId="2" fillId="9" borderId="0" xfId="0" applyFont="1" applyFill="1" applyAlignment="1">
      <alignment horizontal="center"/>
    </xf>
    <xf numFmtId="1" fontId="7" fillId="0" borderId="9" xfId="0" applyNumberFormat="1" applyFont="1" applyBorder="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1" fontId="21" fillId="0" borderId="0" xfId="1" applyNumberFormat="1" applyFont="1" applyAlignment="1">
      <alignment horizontal="right"/>
    </xf>
    <xf numFmtId="0" fontId="7" fillId="0" borderId="28" xfId="0" applyFont="1" applyBorder="1"/>
    <xf numFmtId="0" fontId="13" fillId="0" borderId="0" xfId="0" applyFont="1" applyAlignment="1">
      <alignment horizontal="center"/>
    </xf>
    <xf numFmtId="0" fontId="8" fillId="0" borderId="1" xfId="0" applyFont="1" applyBorder="1"/>
    <xf numFmtId="0" fontId="8" fillId="0" borderId="6" xfId="0" applyFont="1" applyBorder="1"/>
    <xf numFmtId="0" fontId="8" fillId="0" borderId="4" xfId="0" applyFont="1" applyBorder="1"/>
    <xf numFmtId="0" fontId="2" fillId="0" borderId="10" xfId="0" applyFont="1" applyBorder="1" applyAlignment="1">
      <alignment vertical="center"/>
    </xf>
    <xf numFmtId="0" fontId="2" fillId="0" borderId="21" xfId="0" applyFont="1" applyBorder="1" applyAlignment="1">
      <alignment vertical="center"/>
    </xf>
    <xf numFmtId="0" fontId="2" fillId="0" borderId="13" xfId="0" applyFont="1" applyBorder="1" applyAlignment="1">
      <alignment vertical="center"/>
    </xf>
    <xf numFmtId="0" fontId="2" fillId="0" borderId="20" xfId="0" applyFont="1" applyBorder="1" applyAlignment="1">
      <alignment vertical="center"/>
    </xf>
    <xf numFmtId="0" fontId="2" fillId="0" borderId="15" xfId="0" applyFont="1" applyBorder="1" applyAlignment="1">
      <alignment vertical="center"/>
    </xf>
    <xf numFmtId="0" fontId="2" fillId="0" borderId="22" xfId="0" applyFont="1" applyBorder="1" applyAlignment="1">
      <alignment vertical="center"/>
    </xf>
    <xf numFmtId="9" fontId="21" fillId="0" borderId="0" xfId="1" applyFont="1" applyAlignment="1">
      <alignment horizontal="right"/>
    </xf>
    <xf numFmtId="0" fontId="7" fillId="0" borderId="0" xfId="0" applyFont="1" applyAlignment="1">
      <alignment horizontal="center" vertical="center" wrapText="1"/>
    </xf>
    <xf numFmtId="0" fontId="0" fillId="0" borderId="55" xfId="0" applyBorder="1"/>
    <xf numFmtId="2" fontId="9" fillId="0" borderId="56" xfId="0" applyNumberFormat="1" applyFont="1" applyBorder="1"/>
    <xf numFmtId="2" fontId="0" fillId="0" borderId="56" xfId="0" applyNumberFormat="1" applyBorder="1"/>
    <xf numFmtId="1" fontId="7" fillId="0" borderId="0" xfId="0" applyNumberFormat="1" applyFont="1"/>
    <xf numFmtId="0" fontId="0" fillId="0" borderId="0" xfId="0" applyAlignment="1">
      <alignment vertical="center"/>
    </xf>
    <xf numFmtId="0" fontId="5" fillId="0" borderId="0" xfId="2" applyBorder="1"/>
    <xf numFmtId="165" fontId="4" fillId="3" borderId="5" xfId="0" applyNumberFormat="1" applyFont="1" applyFill="1" applyBorder="1" applyAlignment="1" applyProtection="1">
      <alignment horizontal="center"/>
      <protection locked="0"/>
    </xf>
    <xf numFmtId="165" fontId="4" fillId="3" borderId="8" xfId="0" applyNumberFormat="1" applyFont="1" applyFill="1" applyBorder="1" applyAlignment="1" applyProtection="1">
      <alignment horizontal="center"/>
      <protection locked="0"/>
    </xf>
    <xf numFmtId="0" fontId="2" fillId="0" borderId="0" xfId="0" applyFont="1" applyProtection="1">
      <protection locked="0"/>
    </xf>
    <xf numFmtId="0" fontId="8" fillId="0" borderId="0" xfId="0" applyFont="1" applyProtection="1">
      <protection locked="0"/>
    </xf>
    <xf numFmtId="0" fontId="3" fillId="0" borderId="0" xfId="0" applyFont="1" applyAlignment="1" applyProtection="1">
      <alignment horizontal="center"/>
      <protection locked="0"/>
    </xf>
    <xf numFmtId="0" fontId="32" fillId="0" borderId="0" xfId="0" applyFont="1" applyAlignment="1" applyProtection="1">
      <alignment horizontal="center"/>
      <protection locked="0"/>
    </xf>
    <xf numFmtId="44" fontId="2" fillId="0" borderId="0" xfId="0" applyNumberFormat="1" applyFont="1" applyProtection="1">
      <protection locked="0"/>
    </xf>
    <xf numFmtId="0" fontId="4" fillId="3" borderId="2" xfId="0" applyFont="1" applyFill="1" applyBorder="1" applyProtection="1">
      <protection locked="0"/>
    </xf>
    <xf numFmtId="0" fontId="4" fillId="10" borderId="3" xfId="0" applyFont="1" applyFill="1" applyBorder="1" applyProtection="1">
      <protection locked="0"/>
    </xf>
    <xf numFmtId="0" fontId="17" fillId="0" borderId="0" xfId="0" applyFont="1" applyProtection="1">
      <protection locked="0"/>
    </xf>
    <xf numFmtId="164" fontId="4" fillId="3" borderId="0" xfId="0" applyNumberFormat="1" applyFont="1" applyFill="1" applyProtection="1">
      <protection locked="0"/>
    </xf>
    <xf numFmtId="164" fontId="4" fillId="3" borderId="5" xfId="0" applyNumberFormat="1" applyFont="1" applyFill="1" applyBorder="1" applyProtection="1">
      <protection locked="0"/>
    </xf>
    <xf numFmtId="2" fontId="4" fillId="3" borderId="5" xfId="0" applyNumberFormat="1" applyFont="1" applyFill="1" applyBorder="1" applyProtection="1">
      <protection locked="0"/>
    </xf>
    <xf numFmtId="164" fontId="17" fillId="0" borderId="0" xfId="0" applyNumberFormat="1" applyFont="1" applyAlignment="1" applyProtection="1">
      <alignment horizontal="center" vertical="center"/>
      <protection locked="0"/>
    </xf>
    <xf numFmtId="1" fontId="17" fillId="0" borderId="0" xfId="0" applyNumberFormat="1" applyFont="1" applyAlignment="1" applyProtection="1">
      <alignment horizontal="center" vertical="center"/>
      <protection locked="0"/>
    </xf>
    <xf numFmtId="0" fontId="17" fillId="0" borderId="0" xfId="0" applyFont="1" applyAlignment="1" applyProtection="1">
      <alignment horizontal="center" vertical="center"/>
      <protection locked="0"/>
    </xf>
    <xf numFmtId="164" fontId="2" fillId="3" borderId="0" xfId="0" applyNumberFormat="1" applyFont="1" applyFill="1" applyProtection="1">
      <protection locked="0"/>
    </xf>
    <xf numFmtId="1" fontId="4" fillId="3" borderId="5" xfId="0" applyNumberFormat="1" applyFont="1" applyFill="1" applyBorder="1" applyProtection="1">
      <protection locked="0"/>
    </xf>
    <xf numFmtId="0" fontId="10" fillId="0" borderId="0" xfId="0" applyFont="1" applyProtection="1">
      <protection locked="0"/>
    </xf>
    <xf numFmtId="0" fontId="4" fillId="0" borderId="7" xfId="0" applyFont="1" applyBorder="1" applyProtection="1">
      <protection locked="0"/>
    </xf>
    <xf numFmtId="0" fontId="18" fillId="0" borderId="0" xfId="0" applyFont="1" applyAlignment="1" applyProtection="1">
      <alignment vertical="center"/>
      <protection locked="0"/>
    </xf>
    <xf numFmtId="0" fontId="17" fillId="0" borderId="0" xfId="0" applyFont="1" applyAlignment="1" applyProtection="1">
      <alignment vertical="center"/>
      <protection locked="0"/>
    </xf>
    <xf numFmtId="2" fontId="2" fillId="0" borderId="0" xfId="0" applyNumberFormat="1" applyFont="1" applyProtection="1">
      <protection locked="0"/>
    </xf>
    <xf numFmtId="0" fontId="3" fillId="0" borderId="0" xfId="0" applyFont="1" applyAlignment="1" applyProtection="1">
      <alignment vertical="center" wrapText="1"/>
      <protection locked="0"/>
    </xf>
    <xf numFmtId="0" fontId="3" fillId="0" borderId="12" xfId="0" applyFont="1" applyBorder="1" applyAlignment="1" applyProtection="1">
      <alignment horizontal="center" vertical="center" wrapText="1"/>
      <protection locked="0"/>
    </xf>
    <xf numFmtId="0" fontId="2" fillId="0" borderId="0" xfId="0" applyFont="1" applyAlignment="1" applyProtection="1">
      <alignment vertical="center" wrapText="1"/>
      <protection locked="0"/>
    </xf>
    <xf numFmtId="0" fontId="50" fillId="0" borderId="0" xfId="0" applyFont="1" applyAlignment="1" applyProtection="1">
      <alignment horizontal="center"/>
      <protection locked="0"/>
    </xf>
    <xf numFmtId="2" fontId="4" fillId="3" borderId="18" xfId="0" applyNumberFormat="1" applyFont="1" applyFill="1" applyBorder="1" applyAlignment="1" applyProtection="1">
      <alignment horizontal="left"/>
      <protection locked="0"/>
    </xf>
    <xf numFmtId="2" fontId="4" fillId="3" borderId="17" xfId="0" applyNumberFormat="1" applyFont="1" applyFill="1" applyBorder="1" applyAlignment="1" applyProtection="1">
      <alignment horizontal="center"/>
      <protection locked="0"/>
    </xf>
    <xf numFmtId="164" fontId="4" fillId="3" borderId="17" xfId="0" applyNumberFormat="1" applyFont="1" applyFill="1" applyBorder="1" applyAlignment="1" applyProtection="1">
      <alignment horizontal="center"/>
      <protection locked="0"/>
    </xf>
    <xf numFmtId="2" fontId="4" fillId="3" borderId="4" xfId="0" applyNumberFormat="1" applyFont="1" applyFill="1" applyBorder="1" applyAlignment="1" applyProtection="1">
      <alignment horizontal="left"/>
      <protection locked="0"/>
    </xf>
    <xf numFmtId="2" fontId="4" fillId="3" borderId="0" xfId="0" applyNumberFormat="1" applyFont="1" applyFill="1" applyAlignment="1" applyProtection="1">
      <alignment horizontal="center"/>
      <protection locked="0"/>
    </xf>
    <xf numFmtId="164" fontId="4" fillId="3" borderId="0" xfId="0" applyNumberFormat="1" applyFont="1" applyFill="1" applyAlignment="1" applyProtection="1">
      <alignment horizontal="center"/>
      <protection locked="0"/>
    </xf>
    <xf numFmtId="164" fontId="2" fillId="0" borderId="0" xfId="0" applyNumberFormat="1" applyFont="1" applyAlignment="1" applyProtection="1">
      <alignment horizontal="center"/>
      <protection locked="0"/>
    </xf>
    <xf numFmtId="0" fontId="11" fillId="0" borderId="0" xfId="0" applyFont="1" applyProtection="1">
      <protection locked="0"/>
    </xf>
    <xf numFmtId="2" fontId="4" fillId="3" borderId="6" xfId="0" applyNumberFormat="1" applyFont="1" applyFill="1" applyBorder="1" applyAlignment="1" applyProtection="1">
      <alignment horizontal="left"/>
      <protection locked="0"/>
    </xf>
    <xf numFmtId="2" fontId="4" fillId="3" borderId="7" xfId="0" applyNumberFormat="1" applyFont="1" applyFill="1" applyBorder="1" applyAlignment="1" applyProtection="1">
      <alignment horizontal="center"/>
      <protection locked="0"/>
    </xf>
    <xf numFmtId="164" fontId="4" fillId="3" borderId="7" xfId="0" applyNumberFormat="1" applyFont="1" applyFill="1" applyBorder="1" applyAlignment="1" applyProtection="1">
      <alignment horizontal="center"/>
      <protection locked="0"/>
    </xf>
    <xf numFmtId="0" fontId="3" fillId="0" borderId="0" xfId="0" applyFont="1" applyProtection="1">
      <protection locked="0"/>
    </xf>
    <xf numFmtId="164" fontId="3" fillId="0" borderId="0" xfId="0" applyNumberFormat="1" applyFont="1" applyAlignment="1" applyProtection="1">
      <alignment horizontal="center" vertical="center"/>
      <protection locked="0"/>
    </xf>
    <xf numFmtId="0" fontId="2" fillId="0" borderId="0" xfId="0" applyFont="1" applyAlignment="1" applyProtection="1">
      <alignment horizontal="center"/>
      <protection locked="0"/>
    </xf>
    <xf numFmtId="0" fontId="22" fillId="0" borderId="0" xfId="0" applyFont="1" applyProtection="1">
      <protection locked="0"/>
    </xf>
    <xf numFmtId="0" fontId="22" fillId="2" borderId="0" xfId="0" applyFont="1" applyFill="1" applyAlignment="1" applyProtection="1">
      <alignment horizontal="center"/>
      <protection locked="0"/>
    </xf>
    <xf numFmtId="164" fontId="2" fillId="0" borderId="0" xfId="0" applyNumberFormat="1" applyFont="1" applyProtection="1">
      <protection locked="0"/>
    </xf>
    <xf numFmtId="0" fontId="31" fillId="2" borderId="30" xfId="0" applyFont="1" applyFill="1" applyBorder="1" applyAlignment="1" applyProtection="1">
      <alignment horizontal="right"/>
      <protection locked="0"/>
    </xf>
    <xf numFmtId="0" fontId="31" fillId="2" borderId="31" xfId="0" applyFont="1" applyFill="1" applyBorder="1" applyProtection="1">
      <protection locked="0"/>
    </xf>
    <xf numFmtId="0" fontId="31" fillId="2" borderId="31" xfId="0" applyFont="1" applyFill="1" applyBorder="1" applyAlignment="1" applyProtection="1">
      <alignment horizontal="center"/>
      <protection locked="0"/>
    </xf>
    <xf numFmtId="0" fontId="31" fillId="2" borderId="32" xfId="0" applyFont="1" applyFill="1" applyBorder="1" applyAlignment="1" applyProtection="1">
      <alignment horizontal="center"/>
      <protection locked="0"/>
    </xf>
    <xf numFmtId="164" fontId="2" fillId="0" borderId="0" xfId="1" applyNumberFormat="1" applyFont="1" applyProtection="1">
      <protection locked="0"/>
    </xf>
    <xf numFmtId="9" fontId="2" fillId="0" borderId="0" xfId="1" applyFont="1" applyProtection="1">
      <protection locked="0"/>
    </xf>
    <xf numFmtId="0" fontId="31" fillId="2" borderId="33" xfId="0" applyFont="1" applyFill="1" applyBorder="1" applyAlignment="1" applyProtection="1">
      <alignment horizontal="right"/>
      <protection locked="0"/>
    </xf>
    <xf numFmtId="0" fontId="31" fillId="2" borderId="34" xfId="0" applyFont="1" applyFill="1" applyBorder="1" applyProtection="1">
      <protection locked="0"/>
    </xf>
    <xf numFmtId="0" fontId="31" fillId="2" borderId="34" xfId="0" applyFont="1" applyFill="1" applyBorder="1" applyAlignment="1" applyProtection="1">
      <alignment horizontal="center"/>
      <protection locked="0"/>
    </xf>
    <xf numFmtId="0" fontId="31" fillId="2" borderId="35" xfId="0" applyFont="1" applyFill="1" applyBorder="1" applyAlignment="1" applyProtection="1">
      <alignment horizontal="center"/>
      <protection locked="0"/>
    </xf>
    <xf numFmtId="1" fontId="2" fillId="0" borderId="0" xfId="0" applyNumberFormat="1" applyFont="1" applyProtection="1">
      <protection locked="0"/>
    </xf>
    <xf numFmtId="0" fontId="22" fillId="6" borderId="0" xfId="0" applyFont="1" applyFill="1" applyProtection="1">
      <protection locked="0"/>
    </xf>
    <xf numFmtId="0" fontId="22" fillId="8" borderId="0" xfId="0" applyFont="1" applyFill="1" applyProtection="1">
      <protection locked="0"/>
    </xf>
    <xf numFmtId="0" fontId="22" fillId="5" borderId="0" xfId="0" applyFont="1" applyFill="1" applyProtection="1">
      <protection locked="0"/>
    </xf>
    <xf numFmtId="0" fontId="16" fillId="4" borderId="23" xfId="0" applyFont="1" applyFill="1" applyBorder="1" applyProtection="1">
      <protection locked="0"/>
    </xf>
    <xf numFmtId="0" fontId="17" fillId="4" borderId="17" xfId="0" applyFont="1" applyFill="1" applyBorder="1" applyProtection="1">
      <protection locked="0"/>
    </xf>
    <xf numFmtId="0" fontId="18" fillId="4" borderId="17" xfId="0" applyFont="1" applyFill="1" applyBorder="1" applyAlignment="1" applyProtection="1">
      <alignment horizontal="center"/>
      <protection locked="0"/>
    </xf>
    <xf numFmtId="0" fontId="18" fillId="4" borderId="24" xfId="0" applyFont="1" applyFill="1" applyBorder="1" applyAlignment="1" applyProtection="1">
      <alignment horizontal="center"/>
      <protection locked="0"/>
    </xf>
    <xf numFmtId="0" fontId="17" fillId="0" borderId="9" xfId="0" applyFont="1" applyBorder="1" applyProtection="1">
      <protection locked="0"/>
    </xf>
    <xf numFmtId="0" fontId="29" fillId="0" borderId="28" xfId="0" applyFont="1" applyBorder="1" applyProtection="1">
      <protection locked="0"/>
    </xf>
    <xf numFmtId="0" fontId="29" fillId="0" borderId="9" xfId="0" applyFont="1" applyBorder="1" applyProtection="1">
      <protection locked="0"/>
    </xf>
    <xf numFmtId="0" fontId="17" fillId="4" borderId="25" xfId="0" applyFont="1" applyFill="1" applyBorder="1" applyProtection="1">
      <protection locked="0"/>
    </xf>
    <xf numFmtId="0" fontId="17" fillId="4" borderId="0" xfId="0" applyFont="1" applyFill="1" applyProtection="1">
      <protection locked="0"/>
    </xf>
    <xf numFmtId="9" fontId="17" fillId="4" borderId="0" xfId="1" applyFont="1" applyFill="1" applyBorder="1" applyProtection="1">
      <protection locked="0"/>
    </xf>
    <xf numFmtId="9" fontId="17" fillId="4" borderId="26" xfId="1" applyFont="1" applyFill="1" applyBorder="1" applyProtection="1">
      <protection locked="0"/>
    </xf>
    <xf numFmtId="0" fontId="18" fillId="0" borderId="0" xfId="0" applyFont="1" applyProtection="1">
      <protection locked="0"/>
    </xf>
    <xf numFmtId="1" fontId="17" fillId="0" borderId="26" xfId="0" applyNumberFormat="1" applyFont="1" applyBorder="1" applyProtection="1">
      <protection locked="0"/>
    </xf>
    <xf numFmtId="164" fontId="17" fillId="0" borderId="0" xfId="0" applyNumberFormat="1" applyFont="1" applyProtection="1">
      <protection locked="0"/>
    </xf>
    <xf numFmtId="167" fontId="17" fillId="4" borderId="0" xfId="1" applyNumberFormat="1" applyFont="1" applyFill="1" applyBorder="1" applyProtection="1">
      <protection locked="0"/>
    </xf>
    <xf numFmtId="167" fontId="17" fillId="4" borderId="26" xfId="1" applyNumberFormat="1" applyFont="1" applyFill="1" applyBorder="1" applyProtection="1">
      <protection locked="0"/>
    </xf>
    <xf numFmtId="10" fontId="17" fillId="0" borderId="0" xfId="1" applyNumberFormat="1" applyFont="1" applyProtection="1">
      <protection locked="0"/>
    </xf>
    <xf numFmtId="0" fontId="17" fillId="4" borderId="27" xfId="0" applyFont="1" applyFill="1" applyBorder="1" applyProtection="1">
      <protection locked="0"/>
    </xf>
    <xf numFmtId="0" fontId="17" fillId="4" borderId="9" xfId="0" applyFont="1" applyFill="1" applyBorder="1" applyProtection="1">
      <protection locked="0"/>
    </xf>
    <xf numFmtId="167" fontId="17" fillId="4" borderId="9" xfId="0" applyNumberFormat="1" applyFont="1" applyFill="1" applyBorder="1" applyProtection="1">
      <protection locked="0"/>
    </xf>
    <xf numFmtId="167" fontId="17" fillId="4" borderId="28" xfId="0" applyNumberFormat="1" applyFont="1" applyFill="1" applyBorder="1" applyProtection="1">
      <protection locked="0"/>
    </xf>
    <xf numFmtId="2" fontId="17" fillId="0" borderId="26" xfId="0" applyNumberFormat="1" applyFont="1" applyBorder="1" applyProtection="1">
      <protection locked="0"/>
    </xf>
    <xf numFmtId="2" fontId="17" fillId="0" borderId="0" xfId="0" applyNumberFormat="1" applyFont="1" applyProtection="1">
      <protection locked="0"/>
    </xf>
    <xf numFmtId="164" fontId="17" fillId="4" borderId="0" xfId="0" applyNumberFormat="1" applyFont="1" applyFill="1" applyProtection="1">
      <protection locked="0"/>
    </xf>
    <xf numFmtId="1" fontId="17" fillId="0" borderId="0" xfId="0" applyNumberFormat="1" applyFont="1" applyProtection="1">
      <protection locked="0"/>
    </xf>
    <xf numFmtId="9" fontId="17" fillId="0" borderId="0" xfId="1" applyFont="1" applyProtection="1">
      <protection locked="0"/>
    </xf>
    <xf numFmtId="0" fontId="51" fillId="0" borderId="29" xfId="0" applyFont="1" applyBorder="1" applyAlignment="1" applyProtection="1">
      <alignment horizontal="center" textRotation="90" wrapText="1"/>
      <protection locked="0"/>
    </xf>
    <xf numFmtId="0" fontId="29" fillId="0" borderId="14" xfId="0" applyFont="1" applyBorder="1" applyAlignment="1" applyProtection="1">
      <alignment vertical="center" wrapText="1"/>
      <protection locked="0"/>
    </xf>
    <xf numFmtId="0" fontId="29" fillId="0" borderId="14" xfId="0" applyFont="1" applyBorder="1" applyAlignment="1" applyProtection="1">
      <alignment horizontal="center" vertical="center" wrapText="1"/>
      <protection locked="0"/>
    </xf>
    <xf numFmtId="0" fontId="29" fillId="0" borderId="20" xfId="0" applyFont="1" applyBorder="1" applyAlignment="1" applyProtection="1">
      <alignment horizontal="center" vertical="center" wrapText="1"/>
      <protection locked="0"/>
    </xf>
    <xf numFmtId="0" fontId="52" fillId="0" borderId="25" xfId="0" applyFont="1" applyBorder="1" applyProtection="1">
      <protection locked="0"/>
    </xf>
    <xf numFmtId="2" fontId="28" fillId="0" borderId="0" xfId="0" applyNumberFormat="1" applyFont="1" applyProtection="1">
      <protection locked="0"/>
    </xf>
    <xf numFmtId="0" fontId="28" fillId="0" borderId="0" xfId="0" applyFont="1" applyAlignment="1" applyProtection="1">
      <alignment horizontal="center"/>
      <protection locked="0"/>
    </xf>
    <xf numFmtId="164" fontId="28" fillId="0" borderId="0" xfId="0" applyNumberFormat="1" applyFont="1" applyAlignment="1" applyProtection="1">
      <alignment horizontal="center"/>
      <protection locked="0"/>
    </xf>
    <xf numFmtId="2" fontId="28" fillId="0" borderId="0" xfId="0" applyNumberFormat="1" applyFont="1" applyAlignment="1" applyProtection="1">
      <alignment horizontal="center"/>
      <protection locked="0"/>
    </xf>
    <xf numFmtId="1" fontId="28" fillId="0" borderId="0" xfId="0" applyNumberFormat="1" applyFont="1" applyAlignment="1" applyProtection="1">
      <alignment horizontal="center"/>
      <protection locked="0"/>
    </xf>
    <xf numFmtId="2" fontId="28" fillId="0" borderId="26" xfId="0" applyNumberFormat="1" applyFont="1" applyBorder="1" applyAlignment="1" applyProtection="1">
      <alignment horizontal="center"/>
      <protection locked="0"/>
    </xf>
    <xf numFmtId="0" fontId="28" fillId="0" borderId="0" xfId="0" applyFont="1" applyProtection="1">
      <protection locked="0"/>
    </xf>
    <xf numFmtId="0" fontId="28" fillId="0" borderId="29" xfId="0" applyFont="1" applyBorder="1" applyProtection="1">
      <protection locked="0"/>
    </xf>
    <xf numFmtId="0" fontId="28" fillId="0" borderId="14" xfId="0" applyFont="1" applyBorder="1" applyProtection="1">
      <protection locked="0"/>
    </xf>
    <xf numFmtId="164" fontId="28" fillId="0" borderId="14" xfId="0" applyNumberFormat="1" applyFont="1" applyBorder="1" applyProtection="1">
      <protection locked="0"/>
    </xf>
    <xf numFmtId="166" fontId="28" fillId="0" borderId="14" xfId="1" applyNumberFormat="1" applyFont="1" applyBorder="1" applyProtection="1">
      <protection locked="0"/>
    </xf>
    <xf numFmtId="1" fontId="28" fillId="0" borderId="14" xfId="0" applyNumberFormat="1" applyFont="1" applyBorder="1" applyProtection="1">
      <protection locked="0"/>
    </xf>
    <xf numFmtId="2" fontId="28" fillId="0" borderId="14" xfId="0" applyNumberFormat="1" applyFont="1" applyBorder="1" applyProtection="1">
      <protection locked="0"/>
    </xf>
    <xf numFmtId="2" fontId="28" fillId="0" borderId="20" xfId="0" applyNumberFormat="1" applyFont="1" applyBorder="1" applyProtection="1">
      <protection locked="0"/>
    </xf>
    <xf numFmtId="0" fontId="17" fillId="0" borderId="9" xfId="0" applyFont="1" applyBorder="1" applyAlignment="1" applyProtection="1">
      <alignment horizontal="right"/>
      <protection locked="0"/>
    </xf>
    <xf numFmtId="0" fontId="17" fillId="0" borderId="0" xfId="0" applyFont="1" applyAlignment="1" applyProtection="1">
      <alignment horizontal="right"/>
      <protection locked="0"/>
    </xf>
    <xf numFmtId="164" fontId="2" fillId="0" borderId="8" xfId="0" applyNumberFormat="1" applyFont="1" applyBorder="1"/>
    <xf numFmtId="9" fontId="3" fillId="4" borderId="49" xfId="1" applyFont="1" applyFill="1" applyBorder="1" applyAlignment="1" applyProtection="1">
      <alignment horizontal="center"/>
    </xf>
    <xf numFmtId="7" fontId="3" fillId="4" borderId="52" xfId="0" applyNumberFormat="1" applyFont="1" applyFill="1" applyBorder="1" applyAlignment="1">
      <alignment horizontal="center"/>
    </xf>
    <xf numFmtId="174" fontId="3" fillId="4" borderId="52" xfId="0" applyNumberFormat="1" applyFont="1" applyFill="1" applyBorder="1" applyAlignment="1">
      <alignment horizontal="center"/>
    </xf>
    <xf numFmtId="175" fontId="3" fillId="4" borderId="52" xfId="0" applyNumberFormat="1" applyFont="1" applyFill="1" applyBorder="1" applyAlignment="1">
      <alignment horizontal="center"/>
    </xf>
    <xf numFmtId="0" fontId="18" fillId="0" borderId="23" xfId="0" applyFont="1" applyBorder="1" applyAlignment="1">
      <alignment horizontal="center"/>
    </xf>
    <xf numFmtId="0" fontId="18" fillId="0" borderId="17" xfId="0" applyFont="1" applyBorder="1" applyAlignment="1">
      <alignment horizontal="center"/>
    </xf>
    <xf numFmtId="0" fontId="18" fillId="0" borderId="24" xfId="0" applyFont="1" applyBorder="1" applyAlignment="1">
      <alignment horizontal="center"/>
    </xf>
    <xf numFmtId="0" fontId="18" fillId="0" borderId="23" xfId="0" applyFont="1" applyBorder="1" applyAlignment="1">
      <alignment vertical="center"/>
    </xf>
    <xf numFmtId="0" fontId="17" fillId="0" borderId="24" xfId="0" applyFont="1" applyBorder="1" applyAlignment="1">
      <alignment vertical="center"/>
    </xf>
    <xf numFmtId="164" fontId="17" fillId="0" borderId="17" xfId="0" applyNumberFormat="1" applyFont="1" applyBorder="1" applyAlignment="1">
      <alignment horizontal="center" vertical="center"/>
    </xf>
    <xf numFmtId="1" fontId="17" fillId="0" borderId="17" xfId="0" applyNumberFormat="1" applyFont="1" applyBorder="1" applyAlignment="1">
      <alignment horizontal="center" vertical="center"/>
    </xf>
    <xf numFmtId="0" fontId="17" fillId="0" borderId="17" xfId="0" applyFont="1" applyBorder="1" applyAlignment="1">
      <alignment horizontal="center" vertical="center"/>
    </xf>
    <xf numFmtId="1" fontId="17" fillId="0" borderId="24" xfId="0" applyNumberFormat="1" applyFont="1" applyBorder="1" applyAlignment="1">
      <alignment horizontal="center" vertical="center"/>
    </xf>
    <xf numFmtId="0" fontId="18" fillId="0" borderId="25" xfId="0" applyFont="1" applyBorder="1" applyAlignment="1">
      <alignment vertical="center"/>
    </xf>
    <xf numFmtId="0" fontId="17" fillId="0" borderId="26" xfId="0" applyFont="1" applyBorder="1" applyAlignment="1">
      <alignment vertical="center"/>
    </xf>
    <xf numFmtId="164" fontId="17" fillId="0" borderId="0" xfId="0" applyNumberFormat="1" applyFont="1" applyAlignment="1">
      <alignment horizontal="center" vertical="center"/>
    </xf>
    <xf numFmtId="1" fontId="17" fillId="0" borderId="0" xfId="0" applyNumberFormat="1" applyFont="1" applyAlignment="1">
      <alignment horizontal="center" vertical="center"/>
    </xf>
    <xf numFmtId="0" fontId="17" fillId="0" borderId="0" xfId="0" applyFont="1" applyAlignment="1">
      <alignment horizontal="center" vertical="center"/>
    </xf>
    <xf numFmtId="1" fontId="17" fillId="0" borderId="26" xfId="0" applyNumberFormat="1" applyFont="1" applyBorder="1" applyAlignment="1">
      <alignment horizontal="center" vertical="center"/>
    </xf>
    <xf numFmtId="0" fontId="18" fillId="0" borderId="27" xfId="0" applyFont="1" applyBorder="1" applyAlignment="1">
      <alignment vertical="center"/>
    </xf>
    <xf numFmtId="0" fontId="2" fillId="0" borderId="28" xfId="0" applyFont="1" applyBorder="1" applyAlignment="1">
      <alignment vertical="center"/>
    </xf>
    <xf numFmtId="0" fontId="17" fillId="0" borderId="9" xfId="0" applyFont="1" applyBorder="1" applyAlignment="1">
      <alignment horizontal="center" vertical="center"/>
    </xf>
    <xf numFmtId="0" fontId="17" fillId="0" borderId="28" xfId="0" applyFont="1" applyBorder="1" applyAlignment="1">
      <alignment horizontal="center" vertical="center"/>
    </xf>
    <xf numFmtId="0" fontId="18" fillId="0" borderId="26" xfId="0" applyFont="1" applyBorder="1" applyAlignment="1">
      <alignment vertical="center"/>
    </xf>
    <xf numFmtId="164" fontId="18" fillId="0" borderId="0" xfId="0" applyNumberFormat="1" applyFont="1" applyAlignment="1">
      <alignment horizontal="center" vertical="center"/>
    </xf>
    <xf numFmtId="1" fontId="18" fillId="0" borderId="0" xfId="0" applyNumberFormat="1" applyFont="1" applyAlignment="1">
      <alignment horizontal="center" vertical="center"/>
    </xf>
    <xf numFmtId="0" fontId="18" fillId="0" borderId="0" xfId="0" applyFont="1" applyAlignment="1">
      <alignment horizontal="center" vertical="center"/>
    </xf>
    <xf numFmtId="1" fontId="18" fillId="0" borderId="26" xfId="0" applyNumberFormat="1" applyFont="1" applyBorder="1" applyAlignment="1">
      <alignment horizontal="center" vertical="center"/>
    </xf>
    <xf numFmtId="0" fontId="17" fillId="0" borderId="20" xfId="0" applyFont="1" applyBorder="1" applyAlignment="1">
      <alignment vertical="center"/>
    </xf>
    <xf numFmtId="0" fontId="17" fillId="0" borderId="14" xfId="0" applyFont="1" applyBorder="1" applyAlignment="1">
      <alignment horizontal="center" vertical="center"/>
    </xf>
    <xf numFmtId="1" fontId="17" fillId="0" borderId="14" xfId="0" applyNumberFormat="1" applyFont="1" applyBorder="1" applyAlignment="1">
      <alignment horizontal="center" vertical="center"/>
    </xf>
    <xf numFmtId="164" fontId="17" fillId="0" borderId="14" xfId="0" applyNumberFormat="1" applyFont="1" applyBorder="1" applyAlignment="1">
      <alignment horizontal="center" vertical="center"/>
    </xf>
    <xf numFmtId="1" fontId="17" fillId="0" borderId="20" xfId="0" applyNumberFormat="1" applyFont="1" applyBorder="1" applyAlignment="1">
      <alignment horizontal="center" vertical="center"/>
    </xf>
    <xf numFmtId="0" fontId="3" fillId="0" borderId="11" xfId="0" applyFont="1" applyBorder="1" applyAlignment="1">
      <alignment horizontal="center" vertical="center" wrapText="1"/>
    </xf>
    <xf numFmtId="1" fontId="13" fillId="0" borderId="0" xfId="0" applyNumberFormat="1" applyFont="1" applyAlignment="1">
      <alignment horizontal="center"/>
    </xf>
    <xf numFmtId="164" fontId="3" fillId="0" borderId="14" xfId="1" applyNumberFormat="1" applyFont="1" applyBorder="1" applyAlignment="1" applyProtection="1">
      <alignment horizontal="center" vertical="center"/>
    </xf>
    <xf numFmtId="44" fontId="3" fillId="0" borderId="19" xfId="3" applyFont="1" applyBorder="1" applyAlignment="1" applyProtection="1">
      <alignment horizontal="center" vertical="center"/>
    </xf>
    <xf numFmtId="171" fontId="3" fillId="0" borderId="19" xfId="3" applyNumberFormat="1" applyFont="1" applyBorder="1" applyAlignment="1" applyProtection="1">
      <alignment horizontal="center" vertical="center"/>
    </xf>
    <xf numFmtId="0" fontId="2" fillId="0" borderId="18" xfId="0" applyFont="1" applyBorder="1" applyAlignment="1">
      <alignment vertical="center"/>
    </xf>
    <xf numFmtId="0" fontId="2" fillId="0" borderId="24" xfId="0" applyFont="1" applyBorder="1" applyAlignment="1">
      <alignment vertical="center"/>
    </xf>
    <xf numFmtId="164" fontId="3" fillId="0" borderId="0" xfId="0" applyNumberFormat="1" applyFont="1" applyAlignment="1">
      <alignment horizontal="center" vertical="center"/>
    </xf>
    <xf numFmtId="164" fontId="3" fillId="7" borderId="0" xfId="0" applyNumberFormat="1" applyFont="1" applyFill="1" applyAlignment="1">
      <alignment horizontal="center" vertical="center"/>
    </xf>
    <xf numFmtId="164" fontId="3" fillId="2" borderId="0" xfId="0" applyNumberFormat="1" applyFont="1" applyFill="1" applyAlignment="1">
      <alignment horizontal="center" vertical="center"/>
    </xf>
    <xf numFmtId="171" fontId="3" fillId="0" borderId="5" xfId="3" applyNumberFormat="1" applyFont="1" applyBorder="1" applyAlignment="1" applyProtection="1">
      <alignment horizontal="center" vertical="center"/>
    </xf>
    <xf numFmtId="0" fontId="2" fillId="0" borderId="15" xfId="0" applyFont="1" applyBorder="1" applyAlignment="1">
      <alignment horizontal="left" vertical="center"/>
    </xf>
    <xf numFmtId="0" fontId="2" fillId="0" borderId="22" xfId="0" applyFont="1" applyBorder="1" applyAlignment="1">
      <alignment horizontal="center" vertical="center"/>
    </xf>
    <xf numFmtId="0" fontId="2" fillId="0" borderId="16" xfId="0" applyFont="1" applyBorder="1" applyAlignment="1">
      <alignment vertical="center"/>
    </xf>
    <xf numFmtId="164" fontId="2" fillId="0" borderId="16" xfId="0" applyNumberFormat="1" applyFont="1" applyBorder="1" applyAlignment="1">
      <alignment horizontal="center" vertical="center"/>
    </xf>
    <xf numFmtId="164" fontId="2" fillId="0" borderId="16" xfId="0" applyNumberFormat="1" applyFont="1" applyBorder="1" applyAlignment="1">
      <alignment vertical="center"/>
    </xf>
    <xf numFmtId="0" fontId="22" fillId="2" borderId="16" xfId="0" applyFont="1" applyFill="1" applyBorder="1" applyAlignment="1">
      <alignment horizontal="center" vertical="center"/>
    </xf>
    <xf numFmtId="171" fontId="3" fillId="0" borderId="41" xfId="3" applyNumberFormat="1" applyFont="1" applyBorder="1" applyAlignment="1" applyProtection="1">
      <alignment vertical="center"/>
    </xf>
    <xf numFmtId="0" fontId="2" fillId="0" borderId="1" xfId="0" applyFont="1" applyBorder="1"/>
    <xf numFmtId="0" fontId="2" fillId="0" borderId="4" xfId="0" applyFont="1" applyBorder="1"/>
    <xf numFmtId="0" fontId="2" fillId="0" borderId="6" xfId="0" applyFont="1" applyBorder="1"/>
    <xf numFmtId="0" fontId="3" fillId="0" borderId="10" xfId="0" applyFont="1" applyBorder="1" applyAlignment="1">
      <alignment vertical="center" wrapText="1"/>
    </xf>
    <xf numFmtId="0" fontId="2" fillId="9" borderId="47" xfId="0" applyFont="1" applyFill="1" applyBorder="1" applyAlignment="1">
      <alignment horizontal="center"/>
    </xf>
    <xf numFmtId="0" fontId="2" fillId="9" borderId="48" xfId="0" applyFont="1" applyFill="1" applyBorder="1"/>
    <xf numFmtId="0" fontId="2" fillId="9" borderId="50" xfId="0" applyFont="1" applyFill="1" applyBorder="1"/>
    <xf numFmtId="0" fontId="2" fillId="9" borderId="51" xfId="0" applyFont="1" applyFill="1" applyBorder="1"/>
    <xf numFmtId="44" fontId="2" fillId="0" borderId="0" xfId="0" applyNumberFormat="1" applyFont="1"/>
    <xf numFmtId="0" fontId="3" fillId="0" borderId="12" xfId="0" applyFont="1" applyBorder="1" applyAlignment="1">
      <alignment horizontal="center" vertical="center" wrapText="1"/>
    </xf>
    <xf numFmtId="0" fontId="22" fillId="0" borderId="0" xfId="0" applyFont="1" applyAlignment="1" applyProtection="1">
      <alignment horizontal="right"/>
      <protection locked="0"/>
    </xf>
    <xf numFmtId="0" fontId="22" fillId="6" borderId="57" xfId="0" applyFont="1" applyFill="1" applyBorder="1" applyAlignment="1" applyProtection="1">
      <alignment horizontal="center"/>
      <protection locked="0"/>
    </xf>
    <xf numFmtId="0" fontId="22" fillId="8" borderId="57" xfId="0" applyFont="1" applyFill="1" applyBorder="1" applyAlignment="1" applyProtection="1">
      <alignment horizontal="center"/>
      <protection locked="0"/>
    </xf>
    <xf numFmtId="0" fontId="22" fillId="5" borderId="57" xfId="0" applyFont="1" applyFill="1" applyBorder="1" applyAlignment="1" applyProtection="1">
      <alignment horizontal="center"/>
      <protection locked="0"/>
    </xf>
    <xf numFmtId="44" fontId="21" fillId="0" borderId="0" xfId="3" applyFont="1" applyAlignment="1" applyProtection="1">
      <alignment horizontal="right"/>
    </xf>
    <xf numFmtId="2" fontId="0" fillId="0" borderId="36" xfId="0" applyNumberFormat="1" applyBorder="1"/>
    <xf numFmtId="0" fontId="34" fillId="0" borderId="0" xfId="0" applyFont="1"/>
    <xf numFmtId="7" fontId="21" fillId="0" borderId="0" xfId="3" applyNumberFormat="1" applyFont="1" applyAlignment="1" applyProtection="1">
      <alignment horizontal="right"/>
    </xf>
    <xf numFmtId="7" fontId="21" fillId="0" borderId="9" xfId="0" applyNumberFormat="1" applyFont="1" applyBorder="1" applyAlignment="1">
      <alignment horizontal="right"/>
    </xf>
    <xf numFmtId="7" fontId="21" fillId="0" borderId="0" xfId="0" applyNumberFormat="1" applyFont="1" applyAlignment="1">
      <alignment horizontal="right"/>
    </xf>
    <xf numFmtId="0" fontId="49" fillId="0" borderId="0" xfId="0" applyFont="1"/>
    <xf numFmtId="0" fontId="47" fillId="0" borderId="0" xfId="0" applyFont="1" applyAlignment="1">
      <alignment horizontal="right"/>
    </xf>
    <xf numFmtId="2" fontId="46" fillId="0" borderId="0" xfId="0" applyNumberFormat="1" applyFont="1"/>
    <xf numFmtId="0" fontId="0" fillId="0" borderId="0" xfId="0" applyProtection="1">
      <protection locked="0"/>
    </xf>
    <xf numFmtId="0" fontId="21" fillId="0" borderId="25" xfId="0" applyFont="1" applyBorder="1"/>
    <xf numFmtId="0" fontId="4" fillId="0" borderId="2" xfId="0" applyFont="1" applyBorder="1" applyProtection="1">
      <protection locked="0"/>
    </xf>
    <xf numFmtId="164" fontId="4" fillId="0" borderId="0" xfId="0" applyNumberFormat="1" applyFont="1" applyProtection="1">
      <protection locked="0"/>
    </xf>
    <xf numFmtId="0" fontId="4" fillId="0" borderId="0" xfId="0" applyFont="1" applyProtection="1">
      <protection locked="0"/>
    </xf>
    <xf numFmtId="0" fontId="2" fillId="0" borderId="1" xfId="0" applyFont="1" applyBorder="1" applyAlignment="1">
      <alignment horizontal="left"/>
    </xf>
    <xf numFmtId="0" fontId="2" fillId="0" borderId="4" xfId="0" applyFont="1" applyBorder="1" applyAlignment="1">
      <alignment horizontal="left"/>
    </xf>
    <xf numFmtId="0" fontId="2" fillId="0" borderId="6" xfId="0" applyFont="1" applyBorder="1" applyAlignment="1">
      <alignment horizontal="left"/>
    </xf>
    <xf numFmtId="0" fontId="62" fillId="0" borderId="0" xfId="0" applyFont="1" applyProtection="1">
      <protection locked="0"/>
    </xf>
    <xf numFmtId="0" fontId="4" fillId="3" borderId="3" xfId="0" applyFont="1" applyFill="1" applyBorder="1" applyProtection="1">
      <protection locked="0"/>
    </xf>
    <xf numFmtId="164" fontId="4" fillId="3" borderId="7" xfId="0" applyNumberFormat="1" applyFont="1" applyFill="1" applyBorder="1" applyProtection="1">
      <protection locked="0"/>
    </xf>
    <xf numFmtId="1" fontId="4" fillId="3" borderId="8" xfId="0" applyNumberFormat="1" applyFont="1" applyFill="1" applyBorder="1" applyProtection="1">
      <protection locked="0"/>
    </xf>
    <xf numFmtId="0" fontId="62" fillId="0" borderId="0" xfId="0" applyFont="1" applyAlignment="1" applyProtection="1">
      <alignment vertical="center" wrapText="1"/>
      <protection locked="0"/>
    </xf>
    <xf numFmtId="0" fontId="12" fillId="0" borderId="0" xfId="0" applyFont="1" applyProtection="1">
      <protection locked="0"/>
    </xf>
    <xf numFmtId="2" fontId="62" fillId="0" borderId="0" xfId="0" applyNumberFormat="1" applyFont="1" applyProtection="1">
      <protection locked="0"/>
    </xf>
    <xf numFmtId="0" fontId="31" fillId="0" borderId="0" xfId="0" applyFont="1" applyAlignment="1" applyProtection="1">
      <alignment horizontal="center"/>
      <protection locked="0"/>
    </xf>
    <xf numFmtId="169" fontId="2" fillId="0" borderId="0" xfId="0" applyNumberFormat="1" applyFont="1" applyProtection="1">
      <protection locked="0"/>
    </xf>
    <xf numFmtId="0" fontId="63" fillId="0" borderId="0" xfId="0" applyFont="1" applyProtection="1">
      <protection locked="0"/>
    </xf>
    <xf numFmtId="0" fontId="64" fillId="0" borderId="0" xfId="0" applyFont="1" applyAlignment="1" applyProtection="1">
      <alignment horizontal="center"/>
      <protection locked="0"/>
    </xf>
    <xf numFmtId="9" fontId="62" fillId="0" borderId="0" xfId="1" applyFont="1" applyFill="1" applyBorder="1" applyProtection="1">
      <protection locked="0"/>
    </xf>
    <xf numFmtId="167" fontId="62" fillId="0" borderId="0" xfId="0" applyNumberFormat="1" applyFont="1" applyProtection="1">
      <protection locked="0"/>
    </xf>
    <xf numFmtId="164" fontId="62" fillId="0" borderId="0" xfId="0" applyNumberFormat="1" applyFont="1" applyProtection="1">
      <protection locked="0"/>
    </xf>
    <xf numFmtId="0" fontId="66" fillId="0" borderId="0" xfId="0" applyFont="1" applyAlignment="1" applyProtection="1">
      <alignment vertical="center" wrapText="1"/>
      <protection locked="0"/>
    </xf>
    <xf numFmtId="0" fontId="66" fillId="0" borderId="0" xfId="0" applyFont="1" applyAlignment="1" applyProtection="1">
      <alignment horizontal="center" vertical="center" wrapText="1"/>
      <protection locked="0"/>
    </xf>
    <xf numFmtId="0" fontId="67" fillId="0" borderId="0" xfId="0" applyFont="1" applyProtection="1">
      <protection locked="0"/>
    </xf>
    <xf numFmtId="0" fontId="68" fillId="0" borderId="0" xfId="0" applyFont="1" applyProtection="1">
      <protection locked="0"/>
    </xf>
    <xf numFmtId="0" fontId="68" fillId="0" borderId="0" xfId="0" applyFont="1" applyAlignment="1" applyProtection="1">
      <alignment horizontal="center"/>
      <protection locked="0"/>
    </xf>
    <xf numFmtId="164" fontId="68" fillId="0" borderId="0" xfId="0" applyNumberFormat="1" applyFont="1" applyAlignment="1" applyProtection="1">
      <alignment horizontal="center"/>
      <protection locked="0"/>
    </xf>
    <xf numFmtId="2" fontId="68" fillId="0" borderId="0" xfId="0" applyNumberFormat="1" applyFont="1" applyAlignment="1" applyProtection="1">
      <alignment horizontal="center"/>
      <protection locked="0"/>
    </xf>
    <xf numFmtId="1" fontId="68" fillId="0" borderId="0" xfId="0" applyNumberFormat="1" applyFont="1" applyAlignment="1" applyProtection="1">
      <alignment horizontal="center"/>
      <protection locked="0"/>
    </xf>
    <xf numFmtId="164" fontId="68" fillId="0" borderId="0" xfId="0" applyNumberFormat="1" applyFont="1" applyProtection="1">
      <protection locked="0"/>
    </xf>
    <xf numFmtId="166" fontId="68" fillId="0" borderId="0" xfId="1" applyNumberFormat="1" applyFont="1" applyFill="1" applyBorder="1" applyProtection="1">
      <protection locked="0"/>
    </xf>
    <xf numFmtId="1" fontId="68" fillId="0" borderId="0" xfId="0" applyNumberFormat="1" applyFont="1" applyProtection="1">
      <protection locked="0"/>
    </xf>
    <xf numFmtId="2" fontId="68" fillId="0" borderId="0" xfId="0" applyNumberFormat="1" applyFont="1" applyProtection="1">
      <protection locked="0"/>
    </xf>
    <xf numFmtId="0" fontId="62" fillId="0" borderId="0" xfId="0" applyFont="1" applyAlignment="1" applyProtection="1">
      <alignment horizontal="center"/>
      <protection locked="0"/>
    </xf>
    <xf numFmtId="0" fontId="18" fillId="0" borderId="23" xfId="0" applyFont="1" applyBorder="1"/>
    <xf numFmtId="0" fontId="17" fillId="0" borderId="17" xfId="0" applyFont="1" applyBorder="1"/>
    <xf numFmtId="164" fontId="18" fillId="0" borderId="23" xfId="0" applyNumberFormat="1" applyFont="1" applyBorder="1" applyAlignment="1">
      <alignment horizontal="center"/>
    </xf>
    <xf numFmtId="1" fontId="18" fillId="0" borderId="17" xfId="0" applyNumberFormat="1" applyFont="1" applyBorder="1" applyAlignment="1">
      <alignment horizontal="center"/>
    </xf>
    <xf numFmtId="0" fontId="17" fillId="0" borderId="17" xfId="0" applyFont="1" applyBorder="1" applyAlignment="1">
      <alignment horizontal="center"/>
    </xf>
    <xf numFmtId="1" fontId="17" fillId="0" borderId="17" xfId="0" applyNumberFormat="1" applyFont="1" applyBorder="1" applyAlignment="1">
      <alignment horizontal="center"/>
    </xf>
    <xf numFmtId="164" fontId="17" fillId="0" borderId="17" xfId="0" applyNumberFormat="1" applyFont="1" applyBorder="1" applyAlignment="1">
      <alignment horizontal="center"/>
    </xf>
    <xf numFmtId="0" fontId="17" fillId="0" borderId="24" xfId="0" applyFont="1" applyBorder="1" applyAlignment="1">
      <alignment horizontal="center"/>
    </xf>
    <xf numFmtId="0" fontId="18" fillId="0" borderId="27" xfId="0" applyFont="1" applyBorder="1"/>
    <xf numFmtId="0" fontId="17" fillId="0" borderId="9" xfId="0" applyFont="1" applyBorder="1"/>
    <xf numFmtId="164" fontId="17" fillId="0" borderId="27" xfId="0" applyNumberFormat="1" applyFont="1" applyBorder="1" applyAlignment="1">
      <alignment horizontal="center"/>
    </xf>
    <xf numFmtId="1" fontId="17" fillId="0" borderId="9" xfId="0" applyNumberFormat="1" applyFont="1" applyBorder="1" applyAlignment="1">
      <alignment horizontal="center"/>
    </xf>
    <xf numFmtId="0" fontId="17" fillId="0" borderId="9" xfId="0" applyFont="1" applyBorder="1" applyAlignment="1">
      <alignment horizontal="center"/>
    </xf>
    <xf numFmtId="164" fontId="17" fillId="0" borderId="9" xfId="0" applyNumberFormat="1" applyFont="1" applyBorder="1" applyAlignment="1">
      <alignment horizontal="center"/>
    </xf>
    <xf numFmtId="0" fontId="17" fillId="0" borderId="28" xfId="0" applyFont="1" applyBorder="1" applyAlignment="1">
      <alignment horizontal="center"/>
    </xf>
    <xf numFmtId="0" fontId="18" fillId="0" borderId="29" xfId="0" applyFont="1" applyBorder="1"/>
    <xf numFmtId="0" fontId="18" fillId="0" borderId="0" xfId="0" applyFont="1"/>
    <xf numFmtId="164" fontId="18" fillId="0" borderId="25" xfId="0" applyNumberFormat="1" applyFont="1" applyBorder="1" applyAlignment="1">
      <alignment horizontal="center"/>
    </xf>
    <xf numFmtId="1" fontId="18" fillId="0" borderId="0" xfId="0" applyNumberFormat="1" applyFont="1" applyAlignment="1">
      <alignment horizontal="center"/>
    </xf>
    <xf numFmtId="164" fontId="18" fillId="0" borderId="0" xfId="0" applyNumberFormat="1" applyFont="1" applyAlignment="1">
      <alignment horizontal="center"/>
    </xf>
    <xf numFmtId="0" fontId="17" fillId="0" borderId="26" xfId="0" applyFont="1" applyBorder="1" applyAlignment="1">
      <alignment horizontal="center"/>
    </xf>
    <xf numFmtId="0" fontId="17" fillId="0" borderId="14" xfId="0" applyFont="1" applyBorder="1"/>
    <xf numFmtId="0" fontId="17" fillId="0" borderId="29" xfId="0" applyFont="1" applyBorder="1" applyAlignment="1">
      <alignment horizontal="center"/>
    </xf>
    <xf numFmtId="1" fontId="17" fillId="0" borderId="14" xfId="0" applyNumberFormat="1" applyFont="1" applyBorder="1" applyAlignment="1">
      <alignment horizontal="center"/>
    </xf>
    <xf numFmtId="164" fontId="17" fillId="0" borderId="14" xfId="0" applyNumberFormat="1" applyFont="1" applyBorder="1" applyAlignment="1">
      <alignment horizontal="center"/>
    </xf>
    <xf numFmtId="2" fontId="17" fillId="0" borderId="14" xfId="0" applyNumberFormat="1" applyFont="1" applyBorder="1" applyAlignment="1">
      <alignment horizontal="center"/>
    </xf>
    <xf numFmtId="0" fontId="28" fillId="0" borderId="20" xfId="0" quotePrefix="1" applyFont="1" applyBorder="1" applyAlignment="1">
      <alignment horizontal="center"/>
    </xf>
    <xf numFmtId="0" fontId="2" fillId="9" borderId="53" xfId="0" applyFont="1" applyFill="1" applyBorder="1" applyAlignment="1">
      <alignment horizontal="center"/>
    </xf>
    <xf numFmtId="9" fontId="3" fillId="4" borderId="54" xfId="1" applyFont="1" applyFill="1" applyBorder="1" applyAlignment="1" applyProtection="1">
      <alignment horizontal="center"/>
    </xf>
    <xf numFmtId="1" fontId="3" fillId="8" borderId="54" xfId="1" applyNumberFormat="1" applyFont="1" applyFill="1" applyBorder="1" applyAlignment="1" applyProtection="1">
      <alignment horizontal="center"/>
    </xf>
    <xf numFmtId="2" fontId="3" fillId="0" borderId="40" xfId="0" applyNumberFormat="1" applyFont="1" applyBorder="1" applyAlignment="1">
      <alignment horizontal="center" vertical="center"/>
    </xf>
    <xf numFmtId="164" fontId="3" fillId="0" borderId="11" xfId="1" applyNumberFormat="1" applyFont="1" applyBorder="1" applyAlignment="1" applyProtection="1">
      <alignment horizontal="center" vertical="center"/>
    </xf>
    <xf numFmtId="0" fontId="3" fillId="0" borderId="11" xfId="0" applyFont="1" applyBorder="1" applyAlignment="1">
      <alignment horizontal="center" vertical="center"/>
    </xf>
    <xf numFmtId="164" fontId="2" fillId="0" borderId="11" xfId="0" applyNumberFormat="1" applyFont="1" applyBorder="1" applyAlignment="1">
      <alignment horizontal="center" vertical="center"/>
    </xf>
    <xf numFmtId="1" fontId="2" fillId="0" borderId="11" xfId="0" applyNumberFormat="1" applyFont="1" applyBorder="1" applyAlignment="1">
      <alignment horizontal="center" vertical="center"/>
    </xf>
    <xf numFmtId="1" fontId="2" fillId="2" borderId="11" xfId="0" applyNumberFormat="1" applyFont="1" applyFill="1" applyBorder="1" applyAlignment="1">
      <alignment horizontal="center" vertical="center"/>
    </xf>
    <xf numFmtId="44" fontId="3" fillId="0" borderId="12" xfId="3" applyFont="1" applyBorder="1" applyAlignment="1" applyProtection="1">
      <alignment horizontal="center" vertical="center"/>
    </xf>
    <xf numFmtId="0" fontId="2" fillId="0" borderId="16" xfId="0" applyFont="1" applyBorder="1" applyAlignment="1">
      <alignment horizontal="center" vertical="center"/>
    </xf>
    <xf numFmtId="1" fontId="2" fillId="0" borderId="16" xfId="0" applyNumberFormat="1" applyFont="1" applyBorder="1" applyAlignment="1">
      <alignment horizontal="center" vertical="center"/>
    </xf>
    <xf numFmtId="2" fontId="2" fillId="0" borderId="16" xfId="0" applyNumberFormat="1" applyFont="1" applyBorder="1" applyAlignment="1">
      <alignment horizontal="center" vertical="center"/>
    </xf>
    <xf numFmtId="1" fontId="3" fillId="5" borderId="16" xfId="0" applyNumberFormat="1" applyFont="1" applyFill="1" applyBorder="1" applyAlignment="1">
      <alignment horizontal="center" vertical="center"/>
    </xf>
    <xf numFmtId="1" fontId="3" fillId="8" borderId="7" xfId="1" applyNumberFormat="1" applyFont="1" applyFill="1" applyBorder="1" applyAlignment="1" applyProtection="1">
      <alignment horizontal="center"/>
    </xf>
    <xf numFmtId="44" fontId="2" fillId="0" borderId="41" xfId="3" applyFont="1" applyBorder="1" applyAlignment="1" applyProtection="1">
      <alignment horizontal="center" vertical="center"/>
    </xf>
    <xf numFmtId="0" fontId="2" fillId="0" borderId="42" xfId="0" applyFont="1" applyBorder="1" applyAlignment="1">
      <alignment vertical="center"/>
    </xf>
    <xf numFmtId="0" fontId="2" fillId="0" borderId="44" xfId="0" applyFont="1" applyBorder="1" applyAlignment="1">
      <alignment vertical="center"/>
    </xf>
    <xf numFmtId="164" fontId="3" fillId="0" borderId="43" xfId="0" applyNumberFormat="1" applyFont="1" applyBorder="1" applyAlignment="1">
      <alignment horizontal="center" vertical="center"/>
    </xf>
    <xf numFmtId="9" fontId="3" fillId="7" borderId="43" xfId="1" applyFont="1" applyFill="1" applyBorder="1" applyAlignment="1" applyProtection="1">
      <alignment horizontal="center" vertical="center"/>
    </xf>
    <xf numFmtId="9" fontId="3" fillId="0" borderId="43" xfId="1" applyFont="1" applyFill="1" applyBorder="1" applyAlignment="1" applyProtection="1">
      <alignment horizontal="center" vertical="center"/>
    </xf>
    <xf numFmtId="164" fontId="3" fillId="2" borderId="43" xfId="0" applyNumberFormat="1" applyFont="1" applyFill="1" applyBorder="1" applyAlignment="1">
      <alignment horizontal="center" vertical="center"/>
    </xf>
    <xf numFmtId="44" fontId="3" fillId="0" borderId="43" xfId="3" applyFont="1" applyBorder="1" applyAlignment="1" applyProtection="1">
      <alignment horizontal="center" vertical="center"/>
    </xf>
    <xf numFmtId="0" fontId="2" fillId="0" borderId="45" xfId="0" applyFont="1" applyBorder="1"/>
    <xf numFmtId="0" fontId="22" fillId="0" borderId="0" xfId="0" applyFont="1" applyAlignment="1">
      <alignment horizontal="right"/>
    </xf>
    <xf numFmtId="0" fontId="22" fillId="6" borderId="57" xfId="0" applyFont="1" applyFill="1" applyBorder="1" applyAlignment="1">
      <alignment horizontal="center"/>
    </xf>
    <xf numFmtId="0" fontId="22" fillId="8" borderId="57" xfId="0" applyFont="1" applyFill="1" applyBorder="1" applyAlignment="1">
      <alignment horizontal="center"/>
    </xf>
    <xf numFmtId="0" fontId="22" fillId="5" borderId="57" xfId="0" applyFont="1" applyFill="1" applyBorder="1" applyAlignment="1">
      <alignment horizontal="center"/>
    </xf>
    <xf numFmtId="0" fontId="2" fillId="3" borderId="2" xfId="0" applyFont="1" applyFill="1" applyBorder="1" applyProtection="1">
      <protection locked="0"/>
    </xf>
    <xf numFmtId="164" fontId="17" fillId="0" borderId="0" xfId="0" applyNumberFormat="1" applyFont="1" applyAlignment="1" applyProtection="1">
      <alignment horizontal="center"/>
      <protection locked="0"/>
    </xf>
    <xf numFmtId="1" fontId="17" fillId="0" borderId="0" xfId="0" applyNumberFormat="1" applyFont="1" applyAlignment="1" applyProtection="1">
      <alignment horizontal="center"/>
      <protection locked="0"/>
    </xf>
    <xf numFmtId="0" fontId="17" fillId="0" borderId="0" xfId="0" applyFont="1" applyAlignment="1" applyProtection="1">
      <alignment horizontal="center"/>
      <protection locked="0"/>
    </xf>
    <xf numFmtId="1" fontId="4" fillId="0" borderId="5" xfId="0" applyNumberFormat="1" applyFont="1" applyBorder="1" applyProtection="1">
      <protection locked="0"/>
    </xf>
    <xf numFmtId="1" fontId="4" fillId="0" borderId="8" xfId="0" applyNumberFormat="1" applyFont="1" applyBorder="1" applyProtection="1">
      <protection locked="0"/>
    </xf>
    <xf numFmtId="0" fontId="39" fillId="0" borderId="0" xfId="0" applyFont="1" applyProtection="1">
      <protection locked="0"/>
    </xf>
    <xf numFmtId="0" fontId="3" fillId="0" borderId="5" xfId="0" applyFont="1" applyBorder="1" applyAlignment="1" applyProtection="1">
      <alignment vertical="center" wrapText="1"/>
      <protection locked="0"/>
    </xf>
    <xf numFmtId="0" fontId="50" fillId="0" borderId="5" xfId="0" applyFont="1" applyBorder="1" applyAlignment="1" applyProtection="1">
      <alignment horizontal="center"/>
      <protection locked="0"/>
    </xf>
    <xf numFmtId="2" fontId="4" fillId="3" borderId="17" xfId="0" applyNumberFormat="1" applyFont="1" applyFill="1" applyBorder="1" applyAlignment="1" applyProtection="1">
      <alignment horizontal="left"/>
      <protection locked="0"/>
    </xf>
    <xf numFmtId="2" fontId="4" fillId="3" borderId="0" xfId="0" applyNumberFormat="1" applyFont="1" applyFill="1" applyAlignment="1" applyProtection="1">
      <alignment horizontal="left"/>
      <protection locked="0"/>
    </xf>
    <xf numFmtId="2" fontId="4" fillId="3" borderId="7" xfId="0" applyNumberFormat="1" applyFont="1" applyFill="1" applyBorder="1" applyAlignment="1" applyProtection="1">
      <alignment horizontal="left"/>
      <protection locked="0"/>
    </xf>
    <xf numFmtId="0" fontId="2" fillId="3" borderId="2" xfId="0" applyFont="1" applyFill="1" applyBorder="1"/>
    <xf numFmtId="164" fontId="4" fillId="3" borderId="0" xfId="0" applyNumberFormat="1" applyFont="1" applyFill="1"/>
    <xf numFmtId="164" fontId="4" fillId="0" borderId="7" xfId="0" applyNumberFormat="1" applyFont="1" applyBorder="1"/>
    <xf numFmtId="0" fontId="18" fillId="0" borderId="29" xfId="0" applyFont="1" applyBorder="1" applyAlignment="1">
      <alignment horizontal="center"/>
    </xf>
    <xf numFmtId="0" fontId="18" fillId="0" borderId="14" xfId="0" applyFont="1" applyBorder="1" applyAlignment="1">
      <alignment horizontal="center"/>
    </xf>
    <xf numFmtId="0" fontId="18" fillId="0" borderId="20" xfId="0" applyFont="1" applyBorder="1" applyAlignment="1">
      <alignment horizontal="center"/>
    </xf>
    <xf numFmtId="0" fontId="18" fillId="0" borderId="14" xfId="0" applyFont="1" applyBorder="1"/>
    <xf numFmtId="164" fontId="18" fillId="0" borderId="29" xfId="0" applyNumberFormat="1" applyFont="1" applyBorder="1" applyAlignment="1">
      <alignment horizontal="center"/>
    </xf>
    <xf numFmtId="1" fontId="18" fillId="0" borderId="14" xfId="0" applyNumberFormat="1" applyFont="1" applyBorder="1" applyAlignment="1">
      <alignment horizontal="center"/>
    </xf>
    <xf numFmtId="2" fontId="18" fillId="0" borderId="14" xfId="0" applyNumberFormat="1" applyFont="1" applyBorder="1" applyAlignment="1">
      <alignment horizontal="center"/>
    </xf>
    <xf numFmtId="1" fontId="18" fillId="0" borderId="20" xfId="0" applyNumberFormat="1" applyFont="1" applyBorder="1" applyAlignment="1">
      <alignment horizontal="center"/>
    </xf>
    <xf numFmtId="164" fontId="17" fillId="0" borderId="29" xfId="0" applyNumberFormat="1" applyFont="1" applyBorder="1" applyAlignment="1">
      <alignment horizontal="center"/>
    </xf>
    <xf numFmtId="1" fontId="17" fillId="0" borderId="20" xfId="0" applyNumberFormat="1" applyFont="1" applyBorder="1" applyAlignment="1">
      <alignment horizontal="center"/>
    </xf>
    <xf numFmtId="9" fontId="3" fillId="0" borderId="54" xfId="0" applyNumberFormat="1" applyFont="1" applyBorder="1" applyAlignment="1">
      <alignment horizontal="center"/>
    </xf>
    <xf numFmtId="0" fontId="3" fillId="0" borderId="11" xfId="0" applyFont="1" applyBorder="1" applyAlignment="1">
      <alignment vertical="center" wrapText="1"/>
    </xf>
    <xf numFmtId="44" fontId="2" fillId="0" borderId="19" xfId="3" applyFont="1" applyBorder="1" applyAlignment="1" applyProtection="1">
      <alignment horizontal="center" vertical="center"/>
    </xf>
    <xf numFmtId="9" fontId="3" fillId="7" borderId="7" xfId="1" applyFont="1" applyFill="1" applyBorder="1" applyAlignment="1" applyProtection="1">
      <alignment horizontal="center" vertical="center"/>
    </xf>
    <xf numFmtId="9" fontId="3" fillId="0" borderId="7" xfId="1" applyFont="1" applyFill="1" applyBorder="1" applyAlignment="1" applyProtection="1">
      <alignment horizontal="center" vertical="center"/>
    </xf>
    <xf numFmtId="164" fontId="3" fillId="2" borderId="7" xfId="0" applyNumberFormat="1" applyFont="1" applyFill="1" applyBorder="1" applyAlignment="1">
      <alignment horizontal="center" vertical="center"/>
    </xf>
    <xf numFmtId="44" fontId="3" fillId="0" borderId="8" xfId="3" applyFont="1" applyBorder="1" applyAlignment="1" applyProtection="1">
      <alignment horizontal="center" vertical="center"/>
    </xf>
    <xf numFmtId="0" fontId="69" fillId="0" borderId="0" xfId="0" applyFont="1" applyProtection="1">
      <protection locked="0"/>
    </xf>
    <xf numFmtId="0" fontId="64" fillId="0" borderId="0" xfId="0" applyFont="1" applyProtection="1">
      <protection locked="0"/>
    </xf>
    <xf numFmtId="0" fontId="62" fillId="0" borderId="0" xfId="0" applyFont="1"/>
    <xf numFmtId="0" fontId="69" fillId="0" borderId="0" xfId="0" applyFont="1"/>
    <xf numFmtId="0" fontId="62" fillId="0" borderId="0" xfId="0" applyFont="1" applyAlignment="1">
      <alignment vertical="center" wrapText="1"/>
    </xf>
    <xf numFmtId="0" fontId="64" fillId="0" borderId="0" xfId="0" applyFont="1" applyAlignment="1">
      <alignment horizontal="right"/>
    </xf>
    <xf numFmtId="0" fontId="64" fillId="0" borderId="0" xfId="0" applyFont="1"/>
    <xf numFmtId="2" fontId="62" fillId="0" borderId="0" xfId="0" applyNumberFormat="1" applyFont="1"/>
    <xf numFmtId="2" fontId="62" fillId="0" borderId="0" xfId="0" applyNumberFormat="1" applyFont="1" applyAlignment="1">
      <alignment vertical="center" wrapText="1"/>
    </xf>
    <xf numFmtId="0" fontId="4" fillId="3" borderId="3" xfId="0" applyFont="1" applyFill="1" applyBorder="1" applyAlignment="1" applyProtection="1">
      <alignment horizontal="right"/>
      <protection locked="0"/>
    </xf>
    <xf numFmtId="1" fontId="2" fillId="0" borderId="5" xfId="0" applyNumberFormat="1" applyFont="1" applyBorder="1" applyAlignment="1" applyProtection="1">
      <alignment horizontal="right"/>
      <protection locked="0"/>
    </xf>
    <xf numFmtId="0" fontId="4" fillId="3" borderId="5" xfId="3" applyNumberFormat="1" applyFont="1" applyFill="1" applyBorder="1" applyAlignment="1" applyProtection="1">
      <alignment horizontal="right"/>
      <protection locked="0"/>
    </xf>
    <xf numFmtId="164" fontId="2" fillId="3" borderId="7" xfId="0" applyNumberFormat="1" applyFont="1" applyFill="1" applyBorder="1" applyProtection="1">
      <protection locked="0"/>
    </xf>
    <xf numFmtId="44" fontId="4" fillId="3" borderId="8" xfId="3" applyFont="1" applyFill="1" applyBorder="1" applyAlignment="1" applyProtection="1">
      <alignment horizontal="right"/>
      <protection locked="0"/>
    </xf>
    <xf numFmtId="2" fontId="22" fillId="0" borderId="0" xfId="0" applyNumberFormat="1" applyFont="1" applyAlignment="1" applyProtection="1">
      <alignment horizontal="center"/>
      <protection locked="0"/>
    </xf>
    <xf numFmtId="0" fontId="33" fillId="0" borderId="0" xfId="0" applyFont="1" applyAlignment="1" applyProtection="1">
      <alignment vertical="top"/>
      <protection locked="0"/>
    </xf>
    <xf numFmtId="2" fontId="4" fillId="0" borderId="5" xfId="0" applyNumberFormat="1" applyFont="1" applyBorder="1" applyProtection="1">
      <protection locked="0"/>
    </xf>
    <xf numFmtId="2" fontId="4" fillId="3" borderId="1" xfId="0" applyNumberFormat="1" applyFont="1" applyFill="1" applyBorder="1" applyAlignment="1" applyProtection="1">
      <alignment horizontal="left"/>
      <protection locked="0"/>
    </xf>
    <xf numFmtId="2" fontId="4" fillId="3" borderId="2" xfId="0" applyNumberFormat="1" applyFont="1" applyFill="1" applyBorder="1" applyAlignment="1" applyProtection="1">
      <alignment horizontal="center"/>
      <protection locked="0"/>
    </xf>
    <xf numFmtId="164" fontId="4" fillId="3" borderId="2" xfId="0" applyNumberFormat="1" applyFont="1" applyFill="1" applyBorder="1" applyAlignment="1" applyProtection="1">
      <alignment horizontal="center"/>
      <protection locked="0"/>
    </xf>
    <xf numFmtId="165" fontId="4" fillId="3" borderId="3" xfId="0" applyNumberFormat="1" applyFont="1" applyFill="1" applyBorder="1" applyAlignment="1" applyProtection="1">
      <alignment horizontal="center"/>
      <protection locked="0"/>
    </xf>
    <xf numFmtId="165" fontId="4" fillId="0" borderId="5" xfId="0" applyNumberFormat="1" applyFont="1" applyBorder="1" applyProtection="1">
      <protection locked="0"/>
    </xf>
    <xf numFmtId="0" fontId="2" fillId="0" borderId="0" xfId="0" applyFont="1" applyAlignment="1" applyProtection="1">
      <alignment horizontal="center" vertical="center"/>
      <protection locked="0"/>
    </xf>
    <xf numFmtId="0" fontId="4" fillId="0" borderId="5" xfId="0" applyFont="1" applyBorder="1" applyProtection="1">
      <protection locked="0"/>
    </xf>
    <xf numFmtId="0" fontId="16" fillId="0" borderId="0" xfId="0" applyFont="1" applyProtection="1">
      <protection locked="0"/>
    </xf>
    <xf numFmtId="0" fontId="18" fillId="0" borderId="0" xfId="0" applyFont="1" applyAlignment="1" applyProtection="1">
      <alignment horizontal="center"/>
      <protection locked="0"/>
    </xf>
    <xf numFmtId="9" fontId="17" fillId="0" borderId="0" xfId="1" applyFont="1" applyFill="1" applyBorder="1" applyProtection="1">
      <protection locked="0"/>
    </xf>
    <xf numFmtId="167" fontId="17" fillId="0" borderId="0" xfId="0" applyNumberFormat="1" applyFont="1" applyProtection="1">
      <protection locked="0"/>
    </xf>
    <xf numFmtId="0" fontId="2" fillId="9" borderId="0" xfId="0" applyFont="1" applyFill="1"/>
    <xf numFmtId="7" fontId="3" fillId="0" borderId="0" xfId="0" applyNumberFormat="1" applyFont="1" applyAlignment="1">
      <alignment horizontal="center"/>
    </xf>
    <xf numFmtId="9" fontId="3" fillId="0" borderId="0" xfId="1" applyFont="1" applyFill="1" applyAlignment="1" applyProtection="1">
      <alignment horizontal="center"/>
    </xf>
    <xf numFmtId="2" fontId="22" fillId="0" borderId="29" xfId="0" applyNumberFormat="1" applyFont="1" applyBorder="1"/>
    <xf numFmtId="0" fontId="22" fillId="0" borderId="14" xfId="0" applyFont="1" applyBorder="1"/>
    <xf numFmtId="0" fontId="22" fillId="0" borderId="20" xfId="0" applyFont="1" applyBorder="1"/>
    <xf numFmtId="1" fontId="3" fillId="5" borderId="0" xfId="0" applyNumberFormat="1" applyFont="1" applyFill="1" applyAlignment="1">
      <alignment horizontal="center"/>
    </xf>
    <xf numFmtId="164" fontId="18" fillId="0" borderId="14" xfId="0" applyNumberFormat="1" applyFont="1" applyBorder="1" applyAlignment="1">
      <alignment horizontal="center"/>
    </xf>
    <xf numFmtId="0" fontId="17" fillId="0" borderId="27" xfId="0" applyFont="1" applyBorder="1" applyAlignment="1">
      <alignment horizontal="center"/>
    </xf>
    <xf numFmtId="2" fontId="17" fillId="0" borderId="9" xfId="0" applyNumberFormat="1" applyFont="1" applyBorder="1" applyAlignment="1">
      <alignment horizontal="center"/>
    </xf>
    <xf numFmtId="1" fontId="17" fillId="0" borderId="28" xfId="0" applyNumberFormat="1" applyFont="1" applyBorder="1" applyAlignment="1">
      <alignment horizontal="center"/>
    </xf>
    <xf numFmtId="0" fontId="3" fillId="0" borderId="2" xfId="0" applyFont="1" applyBorder="1" applyAlignment="1">
      <alignment vertical="center" wrapText="1"/>
    </xf>
    <xf numFmtId="0" fontId="13" fillId="0" borderId="2" xfId="0" applyFont="1" applyBorder="1" applyAlignment="1">
      <alignment horizontal="center"/>
    </xf>
    <xf numFmtId="164" fontId="2" fillId="0" borderId="2" xfId="0" applyNumberFormat="1" applyFont="1" applyBorder="1" applyAlignment="1">
      <alignment horizontal="center"/>
    </xf>
    <xf numFmtId="2" fontId="2" fillId="0" borderId="2" xfId="0" applyNumberFormat="1" applyFont="1" applyBorder="1" applyAlignment="1">
      <alignment horizontal="center"/>
    </xf>
    <xf numFmtId="1" fontId="2" fillId="0" borderId="2" xfId="0" applyNumberFormat="1" applyFont="1" applyBorder="1" applyAlignment="1">
      <alignment horizontal="center"/>
    </xf>
    <xf numFmtId="44" fontId="2" fillId="0" borderId="19" xfId="3" applyFont="1" applyFill="1" applyBorder="1" applyAlignment="1" applyProtection="1">
      <alignment horizontal="center" vertical="center"/>
    </xf>
    <xf numFmtId="9" fontId="3" fillId="8" borderId="7" xfId="1" applyFont="1" applyFill="1" applyBorder="1" applyAlignment="1" applyProtection="1">
      <alignment horizontal="center" vertical="center"/>
    </xf>
    <xf numFmtId="9" fontId="3" fillId="0" borderId="7" xfId="1" applyFont="1" applyBorder="1" applyAlignment="1" applyProtection="1">
      <alignment horizontal="center" vertical="center"/>
    </xf>
    <xf numFmtId="0" fontId="62" fillId="0" borderId="0" xfId="0" applyFont="1" applyAlignment="1" applyProtection="1">
      <alignment horizontal="center" vertical="center"/>
      <protection locked="0"/>
    </xf>
    <xf numFmtId="0" fontId="62" fillId="0" borderId="0" xfId="0" applyFont="1" applyAlignment="1" applyProtection="1">
      <alignment vertical="center"/>
      <protection locked="0"/>
    </xf>
    <xf numFmtId="1" fontId="62" fillId="0" borderId="0" xfId="0" applyNumberFormat="1" applyFont="1" applyAlignment="1" applyProtection="1">
      <alignment vertical="center"/>
      <protection locked="0"/>
    </xf>
    <xf numFmtId="1" fontId="62" fillId="0" borderId="0" xfId="0" applyNumberFormat="1" applyFont="1" applyProtection="1">
      <protection locked="0"/>
    </xf>
    <xf numFmtId="9" fontId="62" fillId="0" borderId="0" xfId="1" applyFont="1" applyBorder="1" applyProtection="1"/>
    <xf numFmtId="0" fontId="66" fillId="0" borderId="0" xfId="0" applyFont="1" applyAlignment="1">
      <alignment vertical="center" wrapText="1"/>
    </xf>
    <xf numFmtId="0" fontId="66" fillId="0" borderId="0" xfId="0" applyFont="1" applyAlignment="1">
      <alignment horizontal="center" vertical="center" wrapText="1"/>
    </xf>
    <xf numFmtId="0" fontId="68" fillId="0" borderId="0" xfId="0" applyFont="1"/>
    <xf numFmtId="0" fontId="68" fillId="0" borderId="0" xfId="0" applyFont="1" applyAlignment="1">
      <alignment horizontal="center"/>
    </xf>
    <xf numFmtId="164" fontId="68" fillId="0" borderId="0" xfId="0" applyNumberFormat="1" applyFont="1" applyAlignment="1">
      <alignment horizontal="center"/>
    </xf>
    <xf numFmtId="2" fontId="68" fillId="0" borderId="0" xfId="0" applyNumberFormat="1" applyFont="1" applyAlignment="1">
      <alignment horizontal="center"/>
    </xf>
    <xf numFmtId="1" fontId="68" fillId="0" borderId="0" xfId="0" applyNumberFormat="1" applyFont="1" applyAlignment="1">
      <alignment horizontal="center"/>
    </xf>
    <xf numFmtId="164" fontId="68" fillId="0" borderId="0" xfId="0" applyNumberFormat="1" applyFont="1"/>
    <xf numFmtId="166" fontId="68" fillId="0" borderId="0" xfId="1" applyNumberFormat="1" applyFont="1" applyBorder="1" applyProtection="1"/>
    <xf numFmtId="1" fontId="68" fillId="0" borderId="0" xfId="0" applyNumberFormat="1" applyFont="1"/>
    <xf numFmtId="2" fontId="68" fillId="0" borderId="0" xfId="0" applyNumberFormat="1" applyFont="1"/>
    <xf numFmtId="0" fontId="62" fillId="0" borderId="0" xfId="0" applyFont="1" applyAlignment="1">
      <alignment horizontal="center"/>
    </xf>
    <xf numFmtId="0" fontId="62" fillId="0" borderId="0" xfId="0" applyFont="1" applyAlignment="1">
      <alignment horizontal="right"/>
    </xf>
    <xf numFmtId="0" fontId="70" fillId="0" borderId="0" xfId="0" applyFont="1" applyProtection="1">
      <protection locked="0"/>
    </xf>
    <xf numFmtId="1" fontId="69" fillId="0" borderId="0" xfId="0" applyNumberFormat="1" applyFont="1"/>
    <xf numFmtId="0" fontId="71" fillId="0" borderId="0" xfId="0" applyFont="1" applyProtection="1">
      <protection locked="0"/>
    </xf>
    <xf numFmtId="0" fontId="69" fillId="0" borderId="0" xfId="0" applyFont="1" applyAlignment="1">
      <alignment horizontal="right"/>
    </xf>
    <xf numFmtId="0" fontId="62" fillId="0" borderId="0" xfId="0" applyFont="1" applyAlignment="1">
      <alignment horizontal="center" vertical="center"/>
    </xf>
    <xf numFmtId="0" fontId="62" fillId="0" borderId="0" xfId="0" applyFont="1" applyAlignment="1">
      <alignment horizontal="left" vertical="center"/>
    </xf>
    <xf numFmtId="169" fontId="62" fillId="0" borderId="0" xfId="0" applyNumberFormat="1" applyFont="1" applyAlignment="1">
      <alignment horizontal="left" vertical="center"/>
    </xf>
    <xf numFmtId="0" fontId="62" fillId="0" borderId="0" xfId="0" applyFont="1" applyAlignment="1">
      <alignment vertical="center"/>
    </xf>
    <xf numFmtId="0" fontId="69" fillId="0" borderId="0" xfId="0" applyFont="1" applyAlignment="1">
      <alignment horizontal="left" vertical="center"/>
    </xf>
    <xf numFmtId="169" fontId="69" fillId="0" borderId="0" xfId="0" applyNumberFormat="1" applyFont="1" applyAlignment="1">
      <alignment horizontal="left" vertical="center"/>
    </xf>
    <xf numFmtId="164" fontId="4" fillId="3" borderId="5" xfId="0" applyNumberFormat="1" applyFont="1" applyFill="1" applyBorder="1" applyAlignment="1" applyProtection="1">
      <alignment horizontal="right"/>
      <protection locked="0"/>
    </xf>
    <xf numFmtId="2" fontId="17" fillId="0" borderId="0" xfId="0" applyNumberFormat="1" applyFont="1" applyAlignment="1" applyProtection="1">
      <alignment horizontal="center"/>
      <protection locked="0"/>
    </xf>
    <xf numFmtId="1" fontId="4" fillId="3" borderId="5" xfId="0" applyNumberFormat="1" applyFont="1" applyFill="1" applyBorder="1" applyAlignment="1" applyProtection="1">
      <alignment horizontal="right"/>
      <protection locked="0"/>
    </xf>
    <xf numFmtId="0" fontId="40" fillId="0" borderId="0" xfId="0" applyFont="1" applyAlignment="1" applyProtection="1">
      <alignment horizontal="left" vertical="top"/>
      <protection locked="0"/>
    </xf>
    <xf numFmtId="9" fontId="17" fillId="0" borderId="0" xfId="1" applyFont="1" applyAlignment="1" applyProtection="1">
      <alignment horizontal="center"/>
      <protection locked="0"/>
    </xf>
    <xf numFmtId="10" fontId="2" fillId="0" borderId="0" xfId="1" applyNumberFormat="1" applyFont="1" applyProtection="1">
      <protection locked="0"/>
    </xf>
    <xf numFmtId="2" fontId="3" fillId="0" borderId="0" xfId="0" applyNumberFormat="1" applyFont="1" applyAlignment="1" applyProtection="1">
      <alignment horizontal="center" vertical="center"/>
      <protection locked="0"/>
    </xf>
    <xf numFmtId="172" fontId="54" fillId="0" borderId="0" xfId="0" applyNumberFormat="1" applyFont="1" applyAlignment="1">
      <alignment horizontal="left"/>
    </xf>
    <xf numFmtId="1" fontId="36" fillId="0" borderId="7" xfId="0" applyNumberFormat="1" applyFont="1" applyBorder="1" applyAlignment="1">
      <alignment horizontal="right" vertical="center"/>
    </xf>
    <xf numFmtId="164" fontId="2" fillId="0" borderId="8" xfId="0" applyNumberFormat="1" applyFont="1" applyBorder="1" applyAlignment="1">
      <alignment horizontal="right"/>
    </xf>
    <xf numFmtId="9" fontId="3" fillId="5" borderId="0" xfId="1" applyFont="1" applyFill="1" applyAlignment="1" applyProtection="1">
      <alignment horizontal="center"/>
    </xf>
    <xf numFmtId="43" fontId="57" fillId="0" borderId="29" xfId="4" applyFont="1" applyFill="1" applyBorder="1" applyAlignment="1" applyProtection="1">
      <alignment horizontal="right"/>
    </xf>
    <xf numFmtId="0" fontId="57" fillId="0" borderId="14" xfId="0" applyFont="1" applyBorder="1"/>
    <xf numFmtId="0" fontId="42" fillId="0" borderId="20" xfId="0" applyFont="1" applyBorder="1"/>
    <xf numFmtId="1" fontId="3" fillId="5" borderId="0" xfId="1" applyNumberFormat="1" applyFont="1" applyFill="1" applyAlignment="1" applyProtection="1">
      <alignment horizontal="center"/>
    </xf>
    <xf numFmtId="1" fontId="40" fillId="0" borderId="0" xfId="0" applyNumberFormat="1" applyFont="1" applyAlignment="1">
      <alignment horizontal="center"/>
    </xf>
    <xf numFmtId="0" fontId="17" fillId="0" borderId="24" xfId="0" applyFont="1" applyBorder="1"/>
    <xf numFmtId="164" fontId="17" fillId="0" borderId="23" xfId="0" applyNumberFormat="1" applyFont="1" applyBorder="1" applyAlignment="1">
      <alignment horizontal="center"/>
    </xf>
    <xf numFmtId="164" fontId="17" fillId="0" borderId="17" xfId="0" quotePrefix="1" applyNumberFormat="1" applyFont="1" applyBorder="1" applyAlignment="1">
      <alignment horizontal="center"/>
    </xf>
    <xf numFmtId="164" fontId="17" fillId="0" borderId="0" xfId="0" applyNumberFormat="1" applyFont="1" applyAlignment="1">
      <alignment horizontal="center"/>
    </xf>
    <xf numFmtId="1" fontId="17" fillId="0" borderId="17" xfId="0" quotePrefix="1" applyNumberFormat="1" applyFont="1" applyBorder="1" applyAlignment="1">
      <alignment horizontal="center"/>
    </xf>
    <xf numFmtId="1" fontId="17" fillId="0" borderId="24" xfId="0" applyNumberFormat="1" applyFont="1" applyBorder="1" applyAlignment="1">
      <alignment horizontal="center"/>
    </xf>
    <xf numFmtId="0" fontId="18" fillId="0" borderId="25" xfId="0" applyFont="1" applyBorder="1"/>
    <xf numFmtId="0" fontId="17" fillId="0" borderId="26" xfId="0" applyFont="1" applyBorder="1"/>
    <xf numFmtId="164" fontId="17" fillId="0" borderId="25" xfId="0" applyNumberFormat="1" applyFont="1" applyBorder="1" applyAlignment="1">
      <alignment horizontal="center"/>
    </xf>
    <xf numFmtId="164" fontId="17" fillId="0" borderId="0" xfId="0" quotePrefix="1" applyNumberFormat="1" applyFont="1" applyAlignment="1">
      <alignment horizontal="center"/>
    </xf>
    <xf numFmtId="1" fontId="17" fillId="0" borderId="0" xfId="0" applyNumberFormat="1" applyFont="1" applyAlignment="1">
      <alignment horizontal="center"/>
    </xf>
    <xf numFmtId="2" fontId="17" fillId="0" borderId="0" xfId="0" applyNumberFormat="1" applyFont="1" applyAlignment="1">
      <alignment horizontal="center"/>
    </xf>
    <xf numFmtId="1" fontId="17" fillId="0" borderId="26" xfId="0" applyNumberFormat="1" applyFont="1" applyBorder="1" applyAlignment="1">
      <alignment horizontal="center"/>
    </xf>
    <xf numFmtId="0" fontId="18" fillId="0" borderId="26" xfId="0" applyFont="1" applyBorder="1"/>
    <xf numFmtId="0" fontId="17" fillId="0" borderId="28" xfId="0" applyFont="1" applyBorder="1"/>
    <xf numFmtId="164" fontId="17" fillId="0" borderId="9" xfId="0" quotePrefix="1" applyNumberFormat="1" applyFont="1" applyBorder="1" applyAlignment="1">
      <alignment horizontal="center"/>
    </xf>
    <xf numFmtId="0" fontId="2" fillId="0" borderId="20" xfId="0" applyFont="1" applyBorder="1"/>
    <xf numFmtId="0" fontId="17" fillId="0" borderId="29" xfId="0" applyFont="1" applyBorder="1"/>
    <xf numFmtId="0" fontId="17" fillId="0" borderId="20" xfId="0" applyFont="1" applyBorder="1"/>
    <xf numFmtId="0" fontId="17" fillId="0" borderId="14" xfId="0" applyFont="1" applyBorder="1" applyAlignment="1">
      <alignment horizontal="center"/>
    </xf>
    <xf numFmtId="0" fontId="2" fillId="0" borderId="11" xfId="0" applyFont="1" applyBorder="1" applyAlignment="1">
      <alignment vertical="center"/>
    </xf>
    <xf numFmtId="2" fontId="3" fillId="0" borderId="11" xfId="0" applyNumberFormat="1" applyFont="1" applyBorder="1" applyAlignment="1">
      <alignment horizontal="center" vertical="center"/>
    </xf>
    <xf numFmtId="0" fontId="2" fillId="0" borderId="14" xfId="0" applyFont="1" applyBorder="1" applyAlignment="1">
      <alignment vertical="center"/>
    </xf>
    <xf numFmtId="164" fontId="3" fillId="0" borderId="16" xfId="0" applyNumberFormat="1" applyFont="1" applyBorder="1" applyAlignment="1">
      <alignment horizontal="center" vertical="center"/>
    </xf>
    <xf numFmtId="9" fontId="3" fillId="8" borderId="16" xfId="1" applyFont="1" applyFill="1" applyBorder="1" applyAlignment="1" applyProtection="1">
      <alignment horizontal="center" vertical="center"/>
    </xf>
    <xf numFmtId="9" fontId="3" fillId="0" borderId="16" xfId="1" applyFont="1" applyBorder="1" applyAlignment="1" applyProtection="1">
      <alignment horizontal="center" vertical="center"/>
    </xf>
    <xf numFmtId="2" fontId="3" fillId="0" borderId="41" xfId="0" applyNumberFormat="1" applyFont="1" applyBorder="1" applyAlignment="1">
      <alignment horizontal="center" vertical="center"/>
    </xf>
    <xf numFmtId="9" fontId="62" fillId="4" borderId="0" xfId="1" applyFont="1" applyFill="1" applyBorder="1" applyProtection="1"/>
    <xf numFmtId="0" fontId="64" fillId="0" borderId="0" xfId="0" applyFont="1" applyAlignment="1">
      <alignment horizontal="center"/>
    </xf>
    <xf numFmtId="0" fontId="63" fillId="4" borderId="0" xfId="0" applyFont="1" applyFill="1"/>
    <xf numFmtId="0" fontId="62" fillId="4" borderId="0" xfId="0" applyFont="1" applyFill="1"/>
    <xf numFmtId="0" fontId="64" fillId="4" borderId="0" xfId="0" applyFont="1" applyFill="1" applyAlignment="1">
      <alignment horizontal="center"/>
    </xf>
    <xf numFmtId="167" fontId="62" fillId="4" borderId="0" xfId="0" applyNumberFormat="1" applyFont="1" applyFill="1"/>
    <xf numFmtId="164" fontId="62" fillId="4" borderId="0" xfId="0" applyNumberFormat="1" applyFont="1" applyFill="1"/>
    <xf numFmtId="164" fontId="17" fillId="0" borderId="28" xfId="0" applyNumberFormat="1" applyFont="1" applyBorder="1" applyAlignment="1">
      <alignment horizontal="center"/>
    </xf>
    <xf numFmtId="9" fontId="3" fillId="9" borderId="0" xfId="0" applyNumberFormat="1" applyFont="1" applyFill="1" applyAlignment="1">
      <alignment horizontal="center"/>
    </xf>
    <xf numFmtId="0" fontId="24" fillId="3" borderId="0" xfId="0" applyFont="1" applyFill="1" applyAlignment="1" applyProtection="1">
      <alignment vertical="center"/>
      <protection locked="0"/>
    </xf>
    <xf numFmtId="0" fontId="63" fillId="4" borderId="0" xfId="0" applyFont="1" applyFill="1" applyProtection="1">
      <protection locked="0"/>
    </xf>
    <xf numFmtId="0" fontId="62" fillId="4" borderId="0" xfId="0" applyFont="1" applyFill="1" applyProtection="1">
      <protection locked="0"/>
    </xf>
    <xf numFmtId="0" fontId="64" fillId="4" borderId="0" xfId="0" applyFont="1" applyFill="1" applyAlignment="1" applyProtection="1">
      <alignment horizontal="center"/>
      <protection locked="0"/>
    </xf>
    <xf numFmtId="0" fontId="4" fillId="3" borderId="2" xfId="0" applyFont="1" applyFill="1" applyBorder="1"/>
    <xf numFmtId="0" fontId="2" fillId="3" borderId="0" xfId="0" applyFont="1" applyFill="1"/>
    <xf numFmtId="0" fontId="2" fillId="3" borderId="7" xfId="0" applyFont="1" applyFill="1" applyBorder="1"/>
    <xf numFmtId="164" fontId="17" fillId="0" borderId="20" xfId="0" applyNumberFormat="1" applyFont="1" applyBorder="1" applyAlignment="1">
      <alignment horizontal="center"/>
    </xf>
    <xf numFmtId="173" fontId="3" fillId="0" borderId="0" xfId="3" applyNumberFormat="1" applyFont="1" applyFill="1" applyAlignment="1" applyProtection="1">
      <alignment horizontal="center"/>
    </xf>
    <xf numFmtId="1" fontId="3" fillId="6" borderId="0" xfId="1" applyNumberFormat="1" applyFont="1" applyFill="1" applyAlignment="1" applyProtection="1">
      <alignment horizontal="center"/>
    </xf>
    <xf numFmtId="0" fontId="72" fillId="0" borderId="0" xfId="0" applyFont="1" applyProtection="1">
      <protection locked="0"/>
    </xf>
    <xf numFmtId="0" fontId="73" fillId="0" borderId="0" xfId="0" applyFont="1" applyProtection="1">
      <protection locked="0"/>
    </xf>
    <xf numFmtId="0" fontId="73" fillId="0" borderId="0" xfId="0" applyFont="1" applyAlignment="1" applyProtection="1">
      <alignment horizontal="center"/>
      <protection locked="0"/>
    </xf>
    <xf numFmtId="0" fontId="74" fillId="0" borderId="0" xfId="0" applyFont="1" applyProtection="1">
      <protection locked="0"/>
    </xf>
    <xf numFmtId="0" fontId="4" fillId="3" borderId="5" xfId="0" applyFont="1" applyFill="1" applyBorder="1" applyProtection="1">
      <protection locked="0"/>
    </xf>
    <xf numFmtId="0" fontId="4" fillId="3" borderId="5" xfId="0" applyFont="1" applyFill="1" applyBorder="1" applyAlignment="1" applyProtection="1">
      <alignment horizontal="right"/>
      <protection locked="0"/>
    </xf>
    <xf numFmtId="2" fontId="4" fillId="3" borderId="8" xfId="0" applyNumberFormat="1" applyFont="1" applyFill="1" applyBorder="1" applyProtection="1">
      <protection locked="0"/>
    </xf>
    <xf numFmtId="0" fontId="44" fillId="0" borderId="0" xfId="0" applyFont="1" applyProtection="1">
      <protection locked="0"/>
    </xf>
    <xf numFmtId="0" fontId="72" fillId="0" borderId="0" xfId="0" applyFont="1" applyAlignment="1" applyProtection="1">
      <alignment vertical="center" wrapText="1"/>
      <protection locked="0"/>
    </xf>
    <xf numFmtId="0" fontId="61" fillId="0" borderId="0" xfId="0" applyFont="1" applyProtection="1">
      <protection locked="0"/>
    </xf>
    <xf numFmtId="0" fontId="60" fillId="0" borderId="0" xfId="0" applyFont="1" applyAlignment="1" applyProtection="1">
      <alignment horizontal="center"/>
      <protection locked="0"/>
    </xf>
    <xf numFmtId="0" fontId="69" fillId="0" borderId="0" xfId="0" applyFont="1" applyAlignment="1" applyProtection="1">
      <alignment horizontal="center" vertical="center"/>
      <protection locked="0"/>
    </xf>
    <xf numFmtId="1" fontId="69" fillId="0" borderId="0" xfId="0" applyNumberFormat="1" applyFont="1" applyAlignment="1" applyProtection="1">
      <alignment horizontal="center"/>
      <protection locked="0"/>
    </xf>
    <xf numFmtId="0" fontId="75" fillId="0" borderId="0" xfId="0" applyFont="1" applyProtection="1">
      <protection locked="0"/>
    </xf>
    <xf numFmtId="1" fontId="75" fillId="0" borderId="0" xfId="0" applyNumberFormat="1" applyFont="1" applyProtection="1">
      <protection locked="0"/>
    </xf>
    <xf numFmtId="0" fontId="53" fillId="0" borderId="0" xfId="0" applyFont="1" applyAlignment="1">
      <alignment horizontal="center"/>
    </xf>
    <xf numFmtId="0" fontId="53" fillId="0" borderId="0" xfId="0" applyFont="1"/>
    <xf numFmtId="164" fontId="53" fillId="0" borderId="0" xfId="0" applyNumberFormat="1" applyFont="1"/>
    <xf numFmtId="1" fontId="53" fillId="0" borderId="0" xfId="0" applyNumberFormat="1" applyFont="1"/>
    <xf numFmtId="2" fontId="53" fillId="0" borderId="0" xfId="0" applyNumberFormat="1" applyFont="1"/>
    <xf numFmtId="176" fontId="53" fillId="0" borderId="0" xfId="4" applyNumberFormat="1" applyFont="1" applyProtection="1"/>
    <xf numFmtId="0" fontId="15" fillId="0" borderId="0" xfId="0" applyFont="1" applyAlignment="1">
      <alignment horizontal="center"/>
    </xf>
    <xf numFmtId="0" fontId="15" fillId="0" borderId="0" xfId="0" applyFont="1"/>
    <xf numFmtId="164" fontId="15" fillId="0" borderId="0" xfId="0" applyNumberFormat="1" applyFont="1"/>
    <xf numFmtId="1" fontId="15" fillId="0" borderId="0" xfId="0" applyNumberFormat="1" applyFont="1"/>
    <xf numFmtId="2" fontId="15" fillId="0" borderId="0" xfId="0" applyNumberFormat="1" applyFont="1"/>
    <xf numFmtId="176" fontId="15" fillId="0" borderId="0" xfId="4" applyNumberFormat="1" applyFont="1" applyProtection="1"/>
    <xf numFmtId="164" fontId="15" fillId="0" borderId="0" xfId="0" quotePrefix="1" applyNumberFormat="1" applyFont="1"/>
    <xf numFmtId="0" fontId="6" fillId="2" borderId="0" xfId="2" applyFont="1" applyFill="1" applyProtection="1">
      <protection locked="0"/>
    </xf>
    <xf numFmtId="0" fontId="7" fillId="2" borderId="0" xfId="0" applyFont="1" applyFill="1" applyProtection="1">
      <protection locked="0"/>
    </xf>
    <xf numFmtId="1" fontId="7" fillId="2" borderId="0" xfId="0" applyNumberFormat="1" applyFont="1" applyFill="1" applyProtection="1">
      <protection locked="0"/>
    </xf>
    <xf numFmtId="2" fontId="7" fillId="2" borderId="0" xfId="0" applyNumberFormat="1" applyFont="1" applyFill="1" applyProtection="1">
      <protection locked="0"/>
    </xf>
    <xf numFmtId="176" fontId="7" fillId="2" borderId="0" xfId="4" applyNumberFormat="1" applyFont="1" applyFill="1" applyProtection="1">
      <protection locked="0"/>
    </xf>
    <xf numFmtId="1" fontId="0" fillId="2" borderId="0" xfId="0" applyNumberFormat="1" applyFill="1" applyProtection="1">
      <protection locked="0"/>
    </xf>
    <xf numFmtId="0" fontId="0" fillId="2" borderId="0" xfId="0" applyFill="1" applyProtection="1">
      <protection locked="0"/>
    </xf>
    <xf numFmtId="0" fontId="0" fillId="8" borderId="0" xfId="0" applyFill="1" applyProtection="1">
      <protection locked="0"/>
    </xf>
    <xf numFmtId="164" fontId="0" fillId="8" borderId="0" xfId="0" applyNumberFormat="1" applyFill="1" applyProtection="1">
      <protection locked="0"/>
    </xf>
    <xf numFmtId="1" fontId="0" fillId="8" borderId="0" xfId="0" applyNumberFormat="1" applyFill="1" applyProtection="1">
      <protection locked="0"/>
    </xf>
    <xf numFmtId="1" fontId="0" fillId="0" borderId="0" xfId="0" applyNumberFormat="1" applyProtection="1">
      <protection locked="0"/>
    </xf>
    <xf numFmtId="2" fontId="0" fillId="0" borderId="0" xfId="0" applyNumberFormat="1" applyProtection="1">
      <protection locked="0"/>
    </xf>
    <xf numFmtId="176" fontId="0" fillId="0" borderId="0" xfId="4" applyNumberFormat="1" applyFont="1" applyProtection="1">
      <protection locked="0"/>
    </xf>
    <xf numFmtId="0" fontId="5" fillId="8" borderId="0" xfId="2" applyFill="1" applyProtection="1">
      <protection locked="0"/>
    </xf>
    <xf numFmtId="0" fontId="9" fillId="0" borderId="0" xfId="0" applyFont="1" applyProtection="1">
      <protection locked="0"/>
    </xf>
    <xf numFmtId="0" fontId="9" fillId="0" borderId="0" xfId="0" applyFont="1" applyAlignment="1" applyProtection="1">
      <alignment horizontal="center"/>
      <protection locked="0"/>
    </xf>
    <xf numFmtId="164" fontId="9" fillId="0" borderId="0" xfId="0" applyNumberFormat="1" applyFont="1" applyAlignment="1" applyProtection="1">
      <alignment horizontal="center"/>
      <protection locked="0"/>
    </xf>
    <xf numFmtId="1" fontId="9" fillId="0" borderId="0" xfId="0" applyNumberFormat="1" applyFont="1" applyAlignment="1" applyProtection="1">
      <alignment horizontal="center"/>
      <protection locked="0"/>
    </xf>
    <xf numFmtId="2" fontId="9" fillId="0" borderId="0" xfId="0" applyNumberFormat="1" applyFont="1" applyAlignment="1" applyProtection="1">
      <alignment horizontal="center"/>
      <protection locked="0"/>
    </xf>
    <xf numFmtId="176" fontId="9" fillId="0" borderId="0" xfId="4" applyNumberFormat="1" applyFont="1" applyAlignment="1" applyProtection="1">
      <alignment horizontal="center"/>
      <protection locked="0"/>
    </xf>
    <xf numFmtId="0" fontId="0" fillId="0" borderId="0" xfId="0" applyAlignment="1" applyProtection="1">
      <alignment horizontal="center"/>
      <protection locked="0"/>
    </xf>
    <xf numFmtId="0" fontId="14" fillId="2" borderId="0" xfId="0" applyFont="1" applyFill="1" applyAlignment="1" applyProtection="1">
      <alignment vertical="center"/>
      <protection locked="0"/>
    </xf>
    <xf numFmtId="0" fontId="14" fillId="0" borderId="0" xfId="0" applyFont="1" applyAlignment="1" applyProtection="1">
      <alignment vertical="center"/>
      <protection locked="0"/>
    </xf>
    <xf numFmtId="0" fontId="15" fillId="0" borderId="0" xfId="0" applyFont="1" applyAlignment="1" applyProtection="1">
      <alignment horizontal="center"/>
      <protection locked="0"/>
    </xf>
    <xf numFmtId="0" fontId="15" fillId="0" borderId="0" xfId="0" applyFont="1" applyProtection="1">
      <protection locked="0"/>
    </xf>
    <xf numFmtId="164" fontId="15" fillId="0" borderId="0" xfId="0" applyNumberFormat="1" applyFont="1" applyProtection="1">
      <protection locked="0"/>
    </xf>
    <xf numFmtId="1" fontId="15" fillId="0" borderId="0" xfId="0" applyNumberFormat="1" applyFont="1" applyProtection="1">
      <protection locked="0"/>
    </xf>
    <xf numFmtId="2" fontId="15" fillId="0" borderId="0" xfId="0" applyNumberFormat="1" applyFont="1" applyProtection="1">
      <protection locked="0"/>
    </xf>
    <xf numFmtId="176" fontId="15" fillId="0" borderId="0" xfId="4" applyNumberFormat="1" applyFont="1" applyProtection="1">
      <protection locked="0"/>
    </xf>
    <xf numFmtId="164" fontId="0" fillId="0" borderId="0" xfId="0" applyNumberFormat="1" applyProtection="1">
      <protection locked="0"/>
    </xf>
    <xf numFmtId="0" fontId="0" fillId="11" borderId="17" xfId="0" applyFill="1" applyBorder="1" applyAlignment="1">
      <alignment horizontal="center"/>
    </xf>
    <xf numFmtId="0" fontId="0" fillId="17" borderId="9" xfId="0" applyFill="1" applyBorder="1" applyAlignment="1">
      <alignment horizontal="center"/>
    </xf>
    <xf numFmtId="0" fontId="0" fillId="13" borderId="9" xfId="0" applyFill="1" applyBorder="1" applyAlignment="1">
      <alignment horizontal="center"/>
    </xf>
    <xf numFmtId="0" fontId="0" fillId="12" borderId="0" xfId="0" applyFill="1" applyAlignment="1">
      <alignment horizontal="center"/>
    </xf>
    <xf numFmtId="0" fontId="0" fillId="14" borderId="0" xfId="0" applyFill="1" applyAlignment="1">
      <alignment horizontal="center"/>
    </xf>
    <xf numFmtId="0" fontId="0" fillId="15" borderId="0" xfId="0" applyFill="1" applyAlignment="1">
      <alignment horizontal="center"/>
    </xf>
    <xf numFmtId="0" fontId="0" fillId="16" borderId="0" xfId="0" applyFill="1" applyAlignment="1">
      <alignment horizontal="center"/>
    </xf>
    <xf numFmtId="0" fontId="3" fillId="0" borderId="0" xfId="0" applyFont="1" applyAlignment="1" applyProtection="1">
      <alignment horizontal="right"/>
      <protection locked="0"/>
    </xf>
    <xf numFmtId="0" fontId="8" fillId="0" borderId="1" xfId="0" applyFont="1" applyBorder="1" applyProtection="1">
      <protection locked="0"/>
    </xf>
    <xf numFmtId="0" fontId="8" fillId="0" borderId="4" xfId="0" applyFont="1" applyBorder="1" applyProtection="1">
      <protection locked="0"/>
    </xf>
    <xf numFmtId="0" fontId="8" fillId="0" borderId="6" xfId="0" applyFont="1" applyBorder="1" applyProtection="1">
      <protection locked="0"/>
    </xf>
    <xf numFmtId="0" fontId="42" fillId="0" borderId="0" xfId="0" applyFont="1" applyProtection="1">
      <protection locked="0"/>
    </xf>
    <xf numFmtId="0" fontId="43" fillId="0" borderId="23" xfId="0" applyFont="1" applyBorder="1" applyAlignment="1" applyProtection="1">
      <alignment horizontal="center"/>
      <protection locked="0"/>
    </xf>
    <xf numFmtId="0" fontId="43" fillId="0" borderId="17" xfId="0" applyFont="1" applyBorder="1" applyAlignment="1" applyProtection="1">
      <alignment horizontal="center"/>
      <protection locked="0"/>
    </xf>
    <xf numFmtId="0" fontId="43" fillId="0" borderId="24" xfId="0" applyFont="1" applyBorder="1" applyAlignment="1" applyProtection="1">
      <alignment horizontal="center"/>
      <protection locked="0"/>
    </xf>
    <xf numFmtId="0" fontId="22" fillId="0" borderId="4" xfId="0" applyFont="1" applyBorder="1" applyAlignment="1" applyProtection="1">
      <alignment wrapText="1"/>
      <protection locked="0"/>
    </xf>
    <xf numFmtId="0" fontId="43" fillId="0" borderId="29" xfId="0" applyFont="1" applyBorder="1" applyProtection="1">
      <protection locked="0"/>
    </xf>
    <xf numFmtId="0" fontId="43" fillId="0" borderId="14" xfId="0" applyFont="1" applyBorder="1" applyProtection="1">
      <protection locked="0"/>
    </xf>
    <xf numFmtId="164" fontId="43" fillId="3" borderId="29" xfId="0" applyNumberFormat="1" applyFont="1" applyFill="1" applyBorder="1" applyAlignment="1" applyProtection="1">
      <alignment horizontal="center"/>
      <protection locked="0"/>
    </xf>
    <xf numFmtId="164" fontId="43" fillId="3" borderId="14" xfId="0" applyNumberFormat="1" applyFont="1" applyFill="1" applyBorder="1" applyAlignment="1" applyProtection="1">
      <alignment horizontal="center"/>
      <protection locked="0"/>
    </xf>
    <xf numFmtId="1" fontId="43" fillId="3" borderId="14" xfId="0" applyNumberFormat="1" applyFont="1" applyFill="1" applyBorder="1" applyAlignment="1" applyProtection="1">
      <alignment horizontal="center"/>
      <protection locked="0"/>
    </xf>
    <xf numFmtId="1" fontId="43" fillId="3" borderId="20" xfId="0" applyNumberFormat="1" applyFont="1" applyFill="1" applyBorder="1" applyAlignment="1" applyProtection="1">
      <alignment horizontal="center"/>
      <protection locked="0"/>
    </xf>
    <xf numFmtId="0" fontId="2" fillId="0" borderId="4" xfId="0" applyFont="1" applyBorder="1" applyAlignment="1" applyProtection="1">
      <alignment horizontal="center"/>
      <protection locked="0"/>
    </xf>
    <xf numFmtId="0" fontId="43" fillId="0" borderId="27" xfId="0" applyFont="1" applyBorder="1" applyProtection="1">
      <protection locked="0"/>
    </xf>
    <xf numFmtId="0" fontId="42" fillId="0" borderId="14" xfId="0" applyFont="1" applyBorder="1" applyProtection="1">
      <protection locked="0"/>
    </xf>
    <xf numFmtId="0" fontId="42" fillId="0" borderId="27" xfId="0" applyFont="1" applyBorder="1" applyAlignment="1" applyProtection="1">
      <alignment horizontal="center"/>
      <protection locked="0"/>
    </xf>
    <xf numFmtId="1" fontId="42" fillId="0" borderId="9" xfId="0" applyNumberFormat="1" applyFont="1" applyBorder="1" applyAlignment="1" applyProtection="1">
      <alignment horizontal="center"/>
      <protection locked="0"/>
    </xf>
    <xf numFmtId="164" fontId="42" fillId="0" borderId="9" xfId="0" applyNumberFormat="1" applyFont="1" applyBorder="1" applyAlignment="1" applyProtection="1">
      <alignment horizontal="center"/>
      <protection locked="0"/>
    </xf>
    <xf numFmtId="2" fontId="42" fillId="0" borderId="9" xfId="0" applyNumberFormat="1" applyFont="1" applyBorder="1" applyAlignment="1" applyProtection="1">
      <alignment horizontal="center"/>
      <protection locked="0"/>
    </xf>
    <xf numFmtId="1" fontId="42" fillId="0" borderId="28" xfId="0" applyNumberFormat="1" applyFont="1" applyBorder="1" applyAlignment="1" applyProtection="1">
      <alignment horizontal="center"/>
      <protection locked="0"/>
    </xf>
    <xf numFmtId="0" fontId="3" fillId="0" borderId="1" xfId="0" applyFont="1" applyBorder="1" applyAlignment="1" applyProtection="1">
      <alignment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2" fillId="0" borderId="9" xfId="0" applyFont="1" applyBorder="1" applyAlignment="1" applyProtection="1">
      <alignment horizontal="center"/>
      <protection locked="0"/>
    </xf>
    <xf numFmtId="165" fontId="4" fillId="3" borderId="46" xfId="0" applyNumberFormat="1" applyFont="1" applyFill="1" applyBorder="1" applyAlignment="1" applyProtection="1">
      <alignment horizontal="center"/>
      <protection locked="0"/>
    </xf>
    <xf numFmtId="0" fontId="2" fillId="0" borderId="0" xfId="0" applyFont="1" applyAlignment="1" applyProtection="1">
      <alignment horizontal="right"/>
      <protection locked="0"/>
    </xf>
    <xf numFmtId="0" fontId="2" fillId="0" borderId="9" xfId="0" applyFont="1" applyBorder="1" applyProtection="1">
      <protection locked="0"/>
    </xf>
    <xf numFmtId="0" fontId="35" fillId="0" borderId="9" xfId="0" applyFont="1" applyBorder="1" applyProtection="1">
      <protection locked="0"/>
    </xf>
    <xf numFmtId="0" fontId="33" fillId="0" borderId="0" xfId="0" applyFont="1" applyProtection="1">
      <protection locked="0"/>
    </xf>
    <xf numFmtId="0" fontId="29" fillId="0" borderId="29" xfId="0" applyFont="1" applyBorder="1" applyAlignment="1" applyProtection="1">
      <alignment vertical="center" wrapText="1"/>
      <protection locked="0"/>
    </xf>
    <xf numFmtId="0" fontId="28" fillId="0" borderId="25" xfId="0" applyFont="1" applyBorder="1" applyProtection="1">
      <protection locked="0"/>
    </xf>
    <xf numFmtId="1" fontId="28" fillId="0" borderId="26" xfId="0" applyNumberFormat="1" applyFont="1" applyBorder="1" applyAlignment="1" applyProtection="1">
      <alignment horizontal="center"/>
      <protection locked="0"/>
    </xf>
    <xf numFmtId="0" fontId="13" fillId="0" borderId="17" xfId="0" applyFont="1" applyBorder="1" applyAlignment="1">
      <alignment horizontal="center"/>
    </xf>
    <xf numFmtId="9" fontId="3" fillId="9" borderId="0" xfId="1" applyFont="1" applyFill="1" applyAlignment="1" applyProtection="1">
      <alignment horizontal="center"/>
    </xf>
    <xf numFmtId="0" fontId="53" fillId="0" borderId="0" xfId="0" applyFont="1" applyAlignment="1" applyProtection="1">
      <alignment horizontal="center"/>
      <protection locked="0"/>
    </xf>
    <xf numFmtId="0" fontId="53" fillId="0" borderId="0" xfId="0" applyFont="1" applyProtection="1">
      <protection locked="0"/>
    </xf>
    <xf numFmtId="164" fontId="53" fillId="0" borderId="0" xfId="0" applyNumberFormat="1" applyFont="1" applyProtection="1">
      <protection locked="0"/>
    </xf>
    <xf numFmtId="1" fontId="53" fillId="0" borderId="0" xfId="0" applyNumberFormat="1" applyFont="1" applyProtection="1">
      <protection locked="0"/>
    </xf>
    <xf numFmtId="2" fontId="53" fillId="0" borderId="0" xfId="0" applyNumberFormat="1" applyFont="1" applyProtection="1">
      <protection locked="0"/>
    </xf>
    <xf numFmtId="176" fontId="53" fillId="0" borderId="0" xfId="4" applyNumberFormat="1" applyFont="1" applyProtection="1">
      <protection locked="0"/>
    </xf>
    <xf numFmtId="0" fontId="76" fillId="0" borderId="0" xfId="0" applyFont="1" applyProtection="1">
      <protection locked="0"/>
    </xf>
    <xf numFmtId="9" fontId="62" fillId="4" borderId="0" xfId="1" applyFont="1" applyFill="1" applyBorder="1" applyProtection="1">
      <protection locked="0"/>
    </xf>
    <xf numFmtId="167" fontId="62" fillId="4" borderId="0" xfId="0" applyNumberFormat="1" applyFont="1" applyFill="1" applyProtection="1">
      <protection locked="0"/>
    </xf>
    <xf numFmtId="164" fontId="62" fillId="4" borderId="0" xfId="0" applyNumberFormat="1" applyFont="1" applyFill="1" applyProtection="1">
      <protection locked="0"/>
    </xf>
    <xf numFmtId="0" fontId="65" fillId="4" borderId="0" xfId="0" applyFont="1" applyFill="1" applyAlignment="1" applyProtection="1">
      <alignment vertical="center" wrapText="1"/>
      <protection locked="0"/>
    </xf>
    <xf numFmtId="0" fontId="66" fillId="4" borderId="0" xfId="0" applyFont="1" applyFill="1" applyAlignment="1" applyProtection="1">
      <alignment vertical="center" wrapText="1"/>
      <protection locked="0"/>
    </xf>
    <xf numFmtId="0" fontId="66" fillId="4" borderId="0" xfId="0" applyFont="1" applyFill="1" applyAlignment="1" applyProtection="1">
      <alignment horizontal="center" vertical="center" wrapText="1"/>
      <protection locked="0"/>
    </xf>
    <xf numFmtId="0" fontId="67" fillId="4" borderId="0" xfId="0" applyFont="1" applyFill="1" applyProtection="1">
      <protection locked="0"/>
    </xf>
    <xf numFmtId="0" fontId="68" fillId="4" borderId="0" xfId="0" applyFont="1" applyFill="1" applyProtection="1">
      <protection locked="0"/>
    </xf>
    <xf numFmtId="0" fontId="68" fillId="4" borderId="0" xfId="0" applyFont="1" applyFill="1" applyAlignment="1" applyProtection="1">
      <alignment horizontal="center"/>
      <protection locked="0"/>
    </xf>
    <xf numFmtId="164" fontId="68" fillId="4" borderId="0" xfId="0" applyNumberFormat="1" applyFont="1" applyFill="1" applyAlignment="1" applyProtection="1">
      <alignment horizontal="center"/>
      <protection locked="0"/>
    </xf>
    <xf numFmtId="2" fontId="68" fillId="4" borderId="0" xfId="0" applyNumberFormat="1" applyFont="1" applyFill="1" applyAlignment="1" applyProtection="1">
      <alignment horizontal="center"/>
      <protection locked="0"/>
    </xf>
    <xf numFmtId="1" fontId="68" fillId="4" borderId="0" xfId="0" applyNumberFormat="1" applyFont="1" applyFill="1" applyAlignment="1" applyProtection="1">
      <alignment horizontal="center"/>
      <protection locked="0"/>
    </xf>
    <xf numFmtId="164" fontId="68" fillId="4" borderId="0" xfId="0" applyNumberFormat="1" applyFont="1" applyFill="1" applyProtection="1">
      <protection locked="0"/>
    </xf>
    <xf numFmtId="166" fontId="68" fillId="4" borderId="0" xfId="1" applyNumberFormat="1" applyFont="1" applyFill="1" applyBorder="1" applyProtection="1">
      <protection locked="0"/>
    </xf>
    <xf numFmtId="1" fontId="68" fillId="4" borderId="0" xfId="0" applyNumberFormat="1" applyFont="1" applyFill="1" applyProtection="1">
      <protection locked="0"/>
    </xf>
    <xf numFmtId="2" fontId="68" fillId="4" borderId="0" xfId="0" applyNumberFormat="1" applyFont="1" applyFill="1" applyProtection="1">
      <protection locked="0"/>
    </xf>
    <xf numFmtId="0" fontId="62" fillId="4" borderId="0" xfId="0" applyFont="1" applyFill="1" applyAlignment="1" applyProtection="1">
      <alignment horizontal="center"/>
      <protection locked="0"/>
    </xf>
    <xf numFmtId="0" fontId="76" fillId="0" borderId="0" xfId="0" applyFont="1"/>
    <xf numFmtId="9" fontId="2" fillId="0" borderId="0" xfId="1" applyFont="1" applyFill="1" applyBorder="1" applyProtection="1">
      <protection locked="0"/>
    </xf>
    <xf numFmtId="167" fontId="2" fillId="0" borderId="0" xfId="0" applyNumberFormat="1" applyFont="1" applyProtection="1">
      <protection locked="0"/>
    </xf>
    <xf numFmtId="0" fontId="77" fillId="0" borderId="0" xfId="0" applyFont="1" applyProtection="1">
      <protection locked="0"/>
    </xf>
    <xf numFmtId="0" fontId="77" fillId="0" borderId="0" xfId="0" applyFont="1"/>
    <xf numFmtId="0" fontId="77" fillId="0" borderId="0" xfId="0" applyFont="1" applyAlignment="1" applyProtection="1">
      <alignment horizontal="center"/>
      <protection locked="0"/>
    </xf>
    <xf numFmtId="0" fontId="44" fillId="0" borderId="0" xfId="0" applyFont="1" applyAlignment="1" applyProtection="1">
      <alignment vertical="center"/>
      <protection locked="0"/>
    </xf>
    <xf numFmtId="0" fontId="44" fillId="0" borderId="0" xfId="0" applyFont="1" applyAlignment="1" applyProtection="1">
      <alignment horizontal="center" vertical="center"/>
      <protection locked="0"/>
    </xf>
    <xf numFmtId="0" fontId="44" fillId="0" borderId="0" xfId="0" applyFont="1" applyAlignment="1" applyProtection="1">
      <alignment horizontal="left" vertical="center"/>
      <protection locked="0"/>
    </xf>
    <xf numFmtId="178" fontId="4" fillId="3" borderId="5" xfId="0" applyNumberFormat="1" applyFont="1" applyFill="1" applyBorder="1" applyProtection="1">
      <protection locked="0"/>
    </xf>
    <xf numFmtId="0" fontId="79" fillId="0" borderId="0" xfId="0" applyFont="1" applyProtection="1">
      <protection locked="0"/>
    </xf>
    <xf numFmtId="0" fontId="80" fillId="4" borderId="0" xfId="0" applyFont="1" applyFill="1" applyProtection="1">
      <protection locked="0"/>
    </xf>
    <xf numFmtId="166" fontId="2" fillId="0" borderId="0" xfId="1" applyNumberFormat="1" applyFont="1" applyProtection="1">
      <protection locked="0"/>
    </xf>
    <xf numFmtId="2" fontId="17" fillId="0" borderId="0" xfId="0" applyNumberFormat="1" applyFont="1" applyAlignment="1" applyProtection="1">
      <alignment horizontal="center" vertical="center"/>
      <protection locked="0"/>
    </xf>
    <xf numFmtId="9" fontId="3" fillId="5" borderId="49" xfId="1" applyFont="1" applyFill="1" applyBorder="1" applyAlignment="1" applyProtection="1">
      <alignment horizontal="center"/>
    </xf>
    <xf numFmtId="164" fontId="4" fillId="0" borderId="0" xfId="0" applyNumberFormat="1" applyFont="1"/>
    <xf numFmtId="2" fontId="42" fillId="4" borderId="5" xfId="0" applyNumberFormat="1" applyFont="1" applyFill="1" applyBorder="1"/>
    <xf numFmtId="0" fontId="4" fillId="0" borderId="7" xfId="0" applyFont="1" applyBorder="1"/>
    <xf numFmtId="164" fontId="17" fillId="0" borderId="23" xfId="0" quotePrefix="1" applyNumberFormat="1" applyFont="1" applyBorder="1" applyAlignment="1">
      <alignment horizontal="center" vertical="center"/>
    </xf>
    <xf numFmtId="2" fontId="17" fillId="0" borderId="17" xfId="0" applyNumberFormat="1" applyFont="1" applyBorder="1" applyAlignment="1">
      <alignment horizontal="center" vertical="center"/>
    </xf>
    <xf numFmtId="164" fontId="17" fillId="0" borderId="25" xfId="0" applyNumberFormat="1" applyFont="1" applyBorder="1" applyAlignment="1">
      <alignment horizontal="center" vertical="center"/>
    </xf>
    <xf numFmtId="2" fontId="17" fillId="0" borderId="0" xfId="0" applyNumberFormat="1" applyFont="1" applyAlignment="1">
      <alignment horizontal="center" vertical="center"/>
    </xf>
    <xf numFmtId="0" fontId="17" fillId="0" borderId="27" xfId="0" applyFont="1" applyBorder="1" applyAlignment="1">
      <alignment horizontal="center" vertical="center"/>
    </xf>
    <xf numFmtId="2" fontId="17" fillId="0" borderId="9" xfId="0" applyNumberFormat="1" applyFont="1" applyBorder="1" applyAlignment="1">
      <alignment horizontal="center" vertical="center"/>
    </xf>
    <xf numFmtId="2" fontId="18" fillId="0" borderId="29" xfId="0" applyNumberFormat="1" applyFont="1" applyBorder="1" applyAlignment="1">
      <alignment horizontal="center" vertical="center"/>
    </xf>
    <xf numFmtId="2" fontId="18" fillId="0" borderId="14" xfId="0" applyNumberFormat="1" applyFont="1" applyBorder="1" applyAlignment="1">
      <alignment horizontal="center" vertical="center"/>
    </xf>
    <xf numFmtId="1" fontId="18" fillId="0" borderId="14" xfId="0" applyNumberFormat="1" applyFont="1" applyBorder="1" applyAlignment="1">
      <alignment horizontal="center" vertical="center"/>
    </xf>
    <xf numFmtId="1" fontId="18" fillId="0" borderId="20" xfId="0" applyNumberFormat="1" applyFont="1" applyBorder="1" applyAlignment="1">
      <alignment horizontal="center" vertical="center"/>
    </xf>
    <xf numFmtId="2" fontId="17" fillId="0" borderId="14" xfId="0" applyNumberFormat="1" applyFont="1" applyBorder="1" applyAlignment="1">
      <alignment horizontal="center" vertical="center"/>
    </xf>
    <xf numFmtId="9" fontId="3" fillId="5" borderId="52" xfId="1" applyFont="1" applyFill="1" applyBorder="1" applyAlignment="1" applyProtection="1">
      <alignment horizontal="center"/>
    </xf>
    <xf numFmtId="174" fontId="3" fillId="5" borderId="52" xfId="0" applyNumberFormat="1" applyFont="1" applyFill="1" applyBorder="1" applyAlignment="1">
      <alignment horizontal="center"/>
    </xf>
    <xf numFmtId="164" fontId="2" fillId="0" borderId="0" xfId="0" applyNumberFormat="1" applyFont="1"/>
    <xf numFmtId="0" fontId="31" fillId="2" borderId="30" xfId="0" applyFont="1" applyFill="1" applyBorder="1" applyAlignment="1">
      <alignment horizontal="right"/>
    </xf>
    <xf numFmtId="0" fontId="31" fillId="2" borderId="31" xfId="0" applyFont="1" applyFill="1" applyBorder="1"/>
    <xf numFmtId="0" fontId="31" fillId="2" borderId="31" xfId="0" applyFont="1" applyFill="1" applyBorder="1" applyAlignment="1">
      <alignment horizontal="center"/>
    </xf>
    <xf numFmtId="0" fontId="31" fillId="2" borderId="32" xfId="0" applyFont="1" applyFill="1" applyBorder="1" applyAlignment="1">
      <alignment horizontal="center"/>
    </xf>
    <xf numFmtId="164" fontId="2" fillId="0" borderId="0" xfId="1" applyNumberFormat="1" applyFont="1" applyProtection="1"/>
    <xf numFmtId="9" fontId="2" fillId="0" borderId="0" xfId="1" applyFont="1" applyProtection="1"/>
    <xf numFmtId="0" fontId="31" fillId="2" borderId="33" xfId="0" applyFont="1" applyFill="1" applyBorder="1" applyAlignment="1">
      <alignment horizontal="right"/>
    </xf>
    <xf numFmtId="0" fontId="31" fillId="2" borderId="34" xfId="0" applyFont="1" applyFill="1" applyBorder="1"/>
    <xf numFmtId="0" fontId="31" fillId="2" borderId="34" xfId="0" applyFont="1" applyFill="1" applyBorder="1" applyAlignment="1">
      <alignment horizontal="center"/>
    </xf>
    <xf numFmtId="0" fontId="31" fillId="2" borderId="35" xfId="0" applyFont="1" applyFill="1" applyBorder="1" applyAlignment="1">
      <alignment horizontal="center"/>
    </xf>
    <xf numFmtId="164" fontId="17" fillId="0" borderId="24" xfId="4" applyNumberFormat="1" applyFont="1" applyBorder="1" applyAlignment="1" applyProtection="1">
      <alignment horizontal="center" vertical="center"/>
    </xf>
    <xf numFmtId="43" fontId="2" fillId="0" borderId="0" xfId="4" applyFont="1" applyProtection="1">
      <protection locked="0"/>
    </xf>
    <xf numFmtId="180" fontId="2" fillId="0" borderId="0" xfId="0" applyNumberFormat="1" applyFont="1" applyProtection="1">
      <protection locked="0"/>
    </xf>
    <xf numFmtId="0" fontId="2" fillId="0" borderId="6" xfId="0" applyFont="1" applyBorder="1" applyAlignment="1">
      <alignment vertical="center"/>
    </xf>
    <xf numFmtId="0" fontId="2" fillId="0" borderId="59" xfId="0" applyFont="1" applyBorder="1" applyAlignment="1">
      <alignment vertical="center"/>
    </xf>
    <xf numFmtId="0" fontId="2" fillId="0" borderId="7" xfId="0" applyFont="1" applyBorder="1" applyAlignment="1">
      <alignment horizontal="center" vertical="center"/>
    </xf>
    <xf numFmtId="1" fontId="2" fillId="0" borderId="7" xfId="0" applyNumberFormat="1" applyFont="1" applyBorder="1" applyAlignment="1">
      <alignment horizontal="center" vertical="center"/>
    </xf>
    <xf numFmtId="171" fontId="3" fillId="0" borderId="8" xfId="3" applyNumberFormat="1" applyFont="1" applyBorder="1" applyAlignment="1" applyProtection="1">
      <alignment horizontal="center" vertical="center"/>
    </xf>
    <xf numFmtId="9" fontId="2" fillId="0" borderId="7" xfId="1" applyFont="1" applyFill="1" applyBorder="1" applyAlignment="1" applyProtection="1">
      <alignment horizontal="center" vertical="center"/>
    </xf>
    <xf numFmtId="0" fontId="3" fillId="9" borderId="50" xfId="0" applyFont="1" applyFill="1" applyBorder="1" applyAlignment="1">
      <alignment horizontal="left"/>
    </xf>
    <xf numFmtId="0" fontId="22" fillId="9" borderId="47" xfId="0" applyFont="1" applyFill="1" applyBorder="1" applyAlignment="1">
      <alignment horizontal="left"/>
    </xf>
    <xf numFmtId="0" fontId="22" fillId="9" borderId="48" xfId="0" applyFont="1" applyFill="1" applyBorder="1"/>
    <xf numFmtId="167" fontId="62" fillId="4" borderId="0" xfId="1" applyNumberFormat="1" applyFont="1" applyFill="1" applyBorder="1" applyProtection="1"/>
    <xf numFmtId="10" fontId="62" fillId="0" borderId="0" xfId="1" applyNumberFormat="1" applyFont="1" applyBorder="1" applyProtection="1"/>
    <xf numFmtId="0" fontId="65" fillId="0" borderId="0" xfId="0" applyFont="1" applyAlignment="1">
      <alignment horizontal="center" textRotation="90" wrapText="1"/>
    </xf>
    <xf numFmtId="0" fontId="67" fillId="0" borderId="0" xfId="0" applyFont="1"/>
    <xf numFmtId="16" fontId="62" fillId="0" borderId="0" xfId="0" applyNumberFormat="1" applyFont="1" applyAlignment="1">
      <alignment horizontal="center"/>
    </xf>
    <xf numFmtId="177" fontId="62" fillId="0" borderId="0" xfId="0" quotePrefix="1" applyNumberFormat="1" applyFont="1"/>
    <xf numFmtId="179" fontId="62" fillId="0" borderId="0" xfId="4" quotePrefix="1" applyNumberFormat="1" applyFont="1" applyBorder="1" applyProtection="1"/>
    <xf numFmtId="1" fontId="62" fillId="0" borderId="0" xfId="0" applyNumberFormat="1" applyFont="1"/>
    <xf numFmtId="164" fontId="62" fillId="0" borderId="0" xfId="0" applyNumberFormat="1" applyFont="1"/>
    <xf numFmtId="176" fontId="62" fillId="0" borderId="0" xfId="4" applyNumberFormat="1" applyFont="1" applyBorder="1" applyProtection="1"/>
    <xf numFmtId="2" fontId="62" fillId="0" borderId="0" xfId="0" quotePrefix="1" applyNumberFormat="1" applyFont="1"/>
    <xf numFmtId="176" fontId="62" fillId="0" borderId="0" xfId="4" quotePrefix="1" applyNumberFormat="1" applyFont="1" applyBorder="1" applyProtection="1"/>
    <xf numFmtId="0" fontId="82" fillId="0" borderId="0" xfId="0" applyFont="1" applyAlignment="1">
      <alignment horizontal="center"/>
    </xf>
    <xf numFmtId="9" fontId="21" fillId="0" borderId="0" xfId="0" applyNumberFormat="1" applyFont="1"/>
    <xf numFmtId="7" fontId="21" fillId="0" borderId="0" xfId="3" applyNumberFormat="1" applyFont="1" applyBorder="1" applyAlignment="1" applyProtection="1">
      <alignment horizontal="right"/>
    </xf>
    <xf numFmtId="0" fontId="0" fillId="18" borderId="29" xfId="0" applyFill="1" applyBorder="1" applyAlignment="1">
      <alignment horizontal="center"/>
    </xf>
    <xf numFmtId="0" fontId="0" fillId="0" borderId="14" xfId="0" applyBorder="1"/>
    <xf numFmtId="0" fontId="0" fillId="0" borderId="20" xfId="0" applyBorder="1"/>
    <xf numFmtId="0" fontId="0" fillId="19" borderId="0" xfId="0" applyFill="1"/>
    <xf numFmtId="0" fontId="59" fillId="19" borderId="0" xfId="0" applyFont="1" applyFill="1" applyAlignment="1">
      <alignment horizontal="center" vertical="center"/>
    </xf>
    <xf numFmtId="0" fontId="0" fillId="19" borderId="0" xfId="0" applyFill="1" applyAlignment="1">
      <alignment vertical="center"/>
    </xf>
    <xf numFmtId="0" fontId="5" fillId="19" borderId="0" xfId="2" quotePrefix="1" applyFill="1" applyAlignment="1">
      <alignment vertical="center"/>
    </xf>
    <xf numFmtId="0" fontId="86" fillId="0" borderId="0" xfId="0" applyFont="1"/>
    <xf numFmtId="0" fontId="87" fillId="0" borderId="0" xfId="0" applyFont="1"/>
    <xf numFmtId="0" fontId="87" fillId="19" borderId="0" xfId="0" applyFont="1" applyFill="1" applyAlignment="1">
      <alignment vertical="center"/>
    </xf>
    <xf numFmtId="0" fontId="42" fillId="0" borderId="0" xfId="0" applyFont="1" applyAlignment="1" applyProtection="1">
      <alignment vertical="center" wrapText="1"/>
      <protection locked="0"/>
    </xf>
    <xf numFmtId="0" fontId="88" fillId="0" borderId="0" xfId="0" applyFont="1" applyAlignment="1">
      <alignment horizontal="center" vertical="center"/>
    </xf>
    <xf numFmtId="0" fontId="69" fillId="0" borderId="0" xfId="0" applyFont="1" applyAlignment="1">
      <alignment vertical="center"/>
    </xf>
    <xf numFmtId="164" fontId="62" fillId="0" borderId="0" xfId="0" applyNumberFormat="1" applyFont="1" applyAlignment="1">
      <alignment horizontal="center"/>
    </xf>
    <xf numFmtId="1" fontId="62" fillId="0" borderId="0" xfId="0" applyNumberFormat="1" applyFont="1" applyAlignment="1">
      <alignment horizontal="center"/>
    </xf>
    <xf numFmtId="2" fontId="62" fillId="0" borderId="0" xfId="0" applyNumberFormat="1" applyFont="1" applyAlignment="1">
      <alignment horizontal="center"/>
    </xf>
    <xf numFmtId="164" fontId="69" fillId="0" borderId="0" xfId="0" applyNumberFormat="1" applyFont="1" applyAlignment="1">
      <alignment horizontal="center"/>
    </xf>
    <xf numFmtId="9" fontId="62" fillId="0" borderId="0" xfId="1" applyFont="1" applyProtection="1">
      <protection locked="0"/>
    </xf>
    <xf numFmtId="0" fontId="42" fillId="0" borderId="0" xfId="0" applyFont="1" applyAlignment="1" applyProtection="1">
      <alignment horizontal="center"/>
      <protection locked="0"/>
    </xf>
    <xf numFmtId="1" fontId="42" fillId="0" borderId="0" xfId="0" applyNumberFormat="1" applyFont="1" applyProtection="1">
      <protection locked="0"/>
    </xf>
    <xf numFmtId="181" fontId="62" fillId="0" borderId="0" xfId="0" applyNumberFormat="1" applyFont="1" applyAlignment="1">
      <alignment horizontal="left" vertical="center"/>
    </xf>
    <xf numFmtId="0" fontId="5" fillId="0" borderId="0" xfId="2"/>
    <xf numFmtId="0" fontId="90" fillId="0" borderId="0" xfId="0" applyFont="1" applyAlignment="1">
      <alignment vertical="center"/>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5" fillId="0" borderId="0" xfId="2" applyFill="1" applyBorder="1" applyAlignment="1">
      <alignment horizontal="left"/>
    </xf>
    <xf numFmtId="0" fontId="0" fillId="0" borderId="0" xfId="0" applyAlignment="1">
      <alignment horizontal="left" vertical="center" wrapText="1"/>
    </xf>
    <xf numFmtId="0" fontId="0" fillId="0" borderId="29" xfId="0" applyBorder="1" applyAlignment="1">
      <alignment horizontal="center" vertical="center" wrapText="1"/>
    </xf>
    <xf numFmtId="0" fontId="0" fillId="0" borderId="20" xfId="0" applyBorder="1" applyAlignment="1">
      <alignment horizontal="center" vertical="center" wrapText="1"/>
    </xf>
    <xf numFmtId="0" fontId="3" fillId="0" borderId="0" xfId="0" applyFont="1" applyAlignment="1" applyProtection="1">
      <alignment horizontal="right"/>
      <protection locked="0"/>
    </xf>
    <xf numFmtId="0" fontId="24" fillId="3" borderId="0" xfId="0" applyFont="1" applyFill="1" applyAlignment="1" applyProtection="1">
      <alignment horizontal="center" vertical="center"/>
      <protection locked="0"/>
    </xf>
    <xf numFmtId="0" fontId="30" fillId="2" borderId="0" xfId="0" applyFont="1" applyFill="1" applyAlignment="1">
      <alignment horizontal="center"/>
    </xf>
    <xf numFmtId="0" fontId="4" fillId="3" borderId="2" xfId="0" applyFont="1" applyFill="1" applyBorder="1" applyAlignment="1" applyProtection="1">
      <alignment horizontal="center"/>
      <protection locked="0"/>
    </xf>
    <xf numFmtId="0" fontId="4" fillId="3" borderId="3" xfId="0" applyFont="1" applyFill="1" applyBorder="1" applyAlignment="1" applyProtection="1">
      <alignment horizontal="center"/>
      <protection locked="0"/>
    </xf>
    <xf numFmtId="0" fontId="4" fillId="3" borderId="5" xfId="0" applyFont="1" applyFill="1" applyBorder="1" applyAlignment="1" applyProtection="1">
      <alignment horizontal="center"/>
      <protection locked="0"/>
    </xf>
    <xf numFmtId="14" fontId="4" fillId="3" borderId="7" xfId="0" applyNumberFormat="1" applyFont="1" applyFill="1" applyBorder="1" applyAlignment="1" applyProtection="1">
      <alignment horizontal="center"/>
      <protection locked="0"/>
    </xf>
    <xf numFmtId="14" fontId="4" fillId="3" borderId="8" xfId="0" applyNumberFormat="1" applyFont="1" applyFill="1" applyBorder="1" applyAlignment="1" applyProtection="1">
      <alignment horizontal="center"/>
      <protection locked="0"/>
    </xf>
    <xf numFmtId="0" fontId="7" fillId="0" borderId="0" xfId="0" applyFont="1" applyAlignment="1">
      <alignment horizontal="center" vertical="center" wrapText="1"/>
    </xf>
    <xf numFmtId="0" fontId="23" fillId="0" borderId="29" xfId="0" applyFont="1" applyBorder="1" applyAlignment="1">
      <alignment horizontal="center"/>
    </xf>
    <xf numFmtId="0" fontId="23" fillId="0" borderId="14" xfId="0" applyFont="1" applyBorder="1" applyAlignment="1">
      <alignment horizontal="center"/>
    </xf>
    <xf numFmtId="0" fontId="23" fillId="0" borderId="20" xfId="0" applyFont="1" applyBorder="1" applyAlignment="1">
      <alignment horizontal="center"/>
    </xf>
    <xf numFmtId="170" fontId="0" fillId="0" borderId="0" xfId="0" applyNumberFormat="1" applyAlignment="1">
      <alignment horizontal="center"/>
    </xf>
    <xf numFmtId="0" fontId="3" fillId="0" borderId="0" xfId="0" applyFont="1" applyAlignment="1">
      <alignment horizontal="right"/>
    </xf>
    <xf numFmtId="0" fontId="7" fillId="0" borderId="9" xfId="0" applyFont="1" applyBorder="1" applyAlignment="1">
      <alignment horizontal="center"/>
    </xf>
    <xf numFmtId="0" fontId="32" fillId="0" borderId="0" xfId="0" applyFont="1" applyAlignment="1" applyProtection="1">
      <alignment horizontal="center"/>
      <protection locked="0"/>
    </xf>
    <xf numFmtId="0" fontId="2" fillId="9" borderId="0" xfId="0" applyFont="1" applyFill="1" applyAlignment="1">
      <alignment horizontal="left"/>
    </xf>
    <xf numFmtId="0" fontId="30" fillId="2" borderId="7" xfId="0" applyFont="1" applyFill="1" applyBorder="1" applyAlignment="1">
      <alignment horizontal="center"/>
    </xf>
    <xf numFmtId="0" fontId="32" fillId="0" borderId="58" xfId="0" applyFont="1" applyBorder="1" applyAlignment="1" applyProtection="1">
      <alignment horizontal="right"/>
      <protection locked="0"/>
    </xf>
    <xf numFmtId="0" fontId="32" fillId="0" borderId="0" xfId="0" applyFont="1" applyAlignment="1" applyProtection="1">
      <alignment horizontal="right"/>
      <protection locked="0"/>
    </xf>
    <xf numFmtId="0" fontId="78" fillId="0" borderId="0" xfId="0" applyFont="1" applyProtection="1">
      <protection locked="0"/>
    </xf>
    <xf numFmtId="0" fontId="5" fillId="0" borderId="4" xfId="2" applyFill="1" applyBorder="1" applyAlignment="1" applyProtection="1">
      <alignment horizontal="center"/>
      <protection locked="0"/>
    </xf>
    <xf numFmtId="0" fontId="5" fillId="0" borderId="0" xfId="2" applyFill="1" applyBorder="1" applyAlignment="1" applyProtection="1">
      <alignment horizontal="center"/>
      <protection locked="0"/>
    </xf>
    <xf numFmtId="0" fontId="5" fillId="0" borderId="5" xfId="2" applyFill="1" applyBorder="1" applyAlignment="1" applyProtection="1">
      <alignment horizontal="center"/>
      <protection locked="0"/>
    </xf>
    <xf numFmtId="0" fontId="5" fillId="0" borderId="6" xfId="2" applyFill="1" applyBorder="1" applyAlignment="1" applyProtection="1">
      <alignment horizontal="center"/>
      <protection locked="0"/>
    </xf>
    <xf numFmtId="0" fontId="5" fillId="0" borderId="7" xfId="2" applyFill="1" applyBorder="1" applyAlignment="1" applyProtection="1">
      <alignment horizontal="center"/>
      <protection locked="0"/>
    </xf>
    <xf numFmtId="0" fontId="5" fillId="0" borderId="8" xfId="2" applyFill="1" applyBorder="1" applyAlignment="1" applyProtection="1">
      <alignment horizontal="center"/>
      <protection locked="0"/>
    </xf>
    <xf numFmtId="0" fontId="22" fillId="0" borderId="1" xfId="0" applyFont="1" applyBorder="1" applyAlignment="1" applyProtection="1">
      <alignment horizontal="center" wrapText="1"/>
      <protection locked="0"/>
    </xf>
    <xf numFmtId="0" fontId="22" fillId="0" borderId="2" xfId="0" applyFont="1" applyBorder="1" applyAlignment="1" applyProtection="1">
      <alignment horizontal="center" wrapText="1"/>
      <protection locked="0"/>
    </xf>
    <xf numFmtId="0" fontId="22" fillId="0" borderId="3" xfId="0" applyFont="1" applyBorder="1" applyAlignment="1" applyProtection="1">
      <alignment horizontal="center" wrapText="1"/>
      <protection locked="0"/>
    </xf>
    <xf numFmtId="0" fontId="22" fillId="0" borderId="4" xfId="0" applyFont="1" applyBorder="1" applyAlignment="1" applyProtection="1">
      <alignment horizontal="center" wrapText="1"/>
      <protection locked="0"/>
    </xf>
    <xf numFmtId="0" fontId="22" fillId="0" borderId="0" xfId="0" applyFont="1" applyAlignment="1" applyProtection="1">
      <alignment horizontal="center" wrapText="1"/>
      <protection locked="0"/>
    </xf>
    <xf numFmtId="0" fontId="22" fillId="0" borderId="5" xfId="0" applyFont="1" applyBorder="1" applyAlignment="1" applyProtection="1">
      <alignment horizontal="center" wrapText="1"/>
      <protection locked="0"/>
    </xf>
  </cellXfs>
  <cellStyles count="5">
    <cellStyle name="Lien hypertexte" xfId="2" builtinId="8"/>
    <cellStyle name="Milliers" xfId="4" builtinId="3"/>
    <cellStyle name="Monétaire" xfId="3" builtinId="4"/>
    <cellStyle name="Normal" xfId="0" builtinId="0"/>
    <cellStyle name="Pourcentage" xfId="1" builtinId="5"/>
  </cellStyles>
  <dxfs count="131">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theme="9" tint="0.79998168889431442"/>
        </patternFill>
      </fill>
    </dxf>
    <dxf>
      <fill>
        <patternFill>
          <bgColor theme="8" tint="0.79998168889431442"/>
        </patternFill>
      </fill>
    </dxf>
    <dxf>
      <fill>
        <patternFill>
          <bgColor theme="2" tint="-9.9948118533890809E-2"/>
        </patternFill>
      </fill>
    </dxf>
  </dxfs>
  <tableStyles count="0" defaultTableStyle="TableStyleMedium2" defaultPivotStyle="PivotStyleLight16"/>
  <colors>
    <mruColors>
      <color rgb="FFFF9900"/>
      <color rgb="FF000080"/>
      <color rgb="FFFFB613"/>
      <color rgb="FF007F47"/>
      <color rgb="FFFEFCCE"/>
      <color rgb="FFFCEB6A"/>
      <color rgb="FFCCE9AD"/>
      <color rgb="FF9CD45E"/>
      <color rgb="FF6CA52D"/>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1.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13.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8.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25.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050" baseline="0">
                <a:latin typeface="Arial" panose="020B0604020202020204" pitchFamily="34" charset="0"/>
                <a:cs typeface="Arial" panose="020B0604020202020204" pitchFamily="34" charset="0"/>
              </a:rPr>
              <a:t>Système hollandais</a:t>
            </a:r>
            <a:endParaRPr lang="fr-BE" sz="1050">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BE"/>
        </a:p>
      </c:txPr>
    </c:title>
    <c:autoTitleDeleted val="0"/>
    <c:plotArea>
      <c:layout/>
      <c:barChart>
        <c:barDir val="col"/>
        <c:grouping val="stacked"/>
        <c:varyColors val="0"/>
        <c:ser>
          <c:idx val="0"/>
          <c:order val="0"/>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VL   '!$E$53:$G$53</c:f>
              <c:strCache>
                <c:ptCount val="3"/>
                <c:pt idx="0">
                  <c:v>VEM</c:v>
                </c:pt>
                <c:pt idx="1">
                  <c:v>DVE</c:v>
                </c:pt>
                <c:pt idx="2">
                  <c:v>OEB</c:v>
                </c:pt>
              </c:strCache>
            </c:strRef>
          </c:cat>
          <c:val>
            <c:numRef>
              <c:f>'   VL   '!$E$54:$G$54</c:f>
              <c:numCache>
                <c:formatCode>0%</c:formatCode>
                <c:ptCount val="3"/>
                <c:pt idx="0">
                  <c:v>0</c:v>
                </c:pt>
                <c:pt idx="1">
                  <c:v>0</c:v>
                </c:pt>
                <c:pt idx="2">
                  <c:v>0</c:v>
                </c:pt>
              </c:numCache>
            </c:numRef>
          </c:val>
          <c:extLst>
            <c:ext xmlns:c16="http://schemas.microsoft.com/office/drawing/2014/chart" uri="{C3380CC4-5D6E-409C-BE32-E72D297353CC}">
              <c16:uniqueId val="{00000000-935B-4EB8-8F12-CD9D3C1A857D}"/>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dLbls>
            <c:dLbl>
              <c:idx val="0"/>
              <c:tx>
                <c:rich>
                  <a:bodyPr/>
                  <a:lstStyle/>
                  <a:p>
                    <a:fld id="{FB99818B-2E15-4DA0-9AD4-52ACBB9E3A84}" type="CELLRANGE">
                      <a:rPr lang="en-US"/>
                      <a:pPr/>
                      <a:t>[PLAGECELL]</a:t>
                    </a:fld>
                    <a:endParaRPr lang="fr-BE"/>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935B-4EB8-8F12-CD9D3C1A857D}"/>
                </c:ext>
              </c:extLst>
            </c:dLbl>
            <c:dLbl>
              <c:idx val="1"/>
              <c:tx>
                <c:rich>
                  <a:bodyPr/>
                  <a:lstStyle/>
                  <a:p>
                    <a:fld id="{16FAD4AE-1AB8-43C6-AC32-FF1957940E64}" type="CELLRANGE">
                      <a:rPr lang="fr-BE"/>
                      <a:pPr/>
                      <a:t>[PLAGECELL]</a:t>
                    </a:fld>
                    <a:endParaRPr lang="fr-BE"/>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935B-4EB8-8F12-CD9D3C1A857D}"/>
                </c:ext>
              </c:extLst>
            </c:dLbl>
            <c:spPr>
              <a:solidFill>
                <a:schemeClr val="bg1"/>
              </a:solidFill>
              <a:ln w="3175">
                <a:solidFill>
                  <a:schemeClr val="tx1"/>
                </a:solidFill>
                <a:prstDash val="sysDot"/>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strRef>
              <c:f>'   VL   '!$E$53:$F$53</c:f>
              <c:strCache>
                <c:ptCount val="2"/>
                <c:pt idx="0">
                  <c:v>VEM</c:v>
                </c:pt>
                <c:pt idx="1">
                  <c:v>DVE</c:v>
                </c:pt>
              </c:strCache>
            </c:strRef>
          </c:xVal>
          <c:yVal>
            <c:numRef>
              <c:f>'   VL   '!$E$57:$F$57</c:f>
              <c:numCache>
                <c:formatCode>0.0</c:formatCode>
                <c:ptCount val="2"/>
                <c:pt idx="0">
                  <c:v>0.3</c:v>
                </c:pt>
                <c:pt idx="1">
                  <c:v>0.3</c:v>
                </c:pt>
              </c:numCache>
            </c:numRef>
          </c:yVal>
          <c:smooth val="0"/>
          <c:extLst>
            <c:ext xmlns:c15="http://schemas.microsoft.com/office/drawing/2012/chart" uri="{02D57815-91ED-43cb-92C2-25804820EDAC}">
              <c15:datalabelsRange>
                <c15:f>'   VL   '!$E$55:$G$55</c15:f>
                <c15:dlblRangeCache>
                  <c:ptCount val="3"/>
                  <c:pt idx="0">
                    <c:v>#VALEUR!</c:v>
                  </c:pt>
                  <c:pt idx="1">
                    <c:v>-2,2 L</c:v>
                  </c:pt>
                </c15:dlblRangeCache>
              </c15:datalabelsRange>
            </c:ext>
            <c:ext xmlns:c16="http://schemas.microsoft.com/office/drawing/2014/chart" uri="{C3380CC4-5D6E-409C-BE32-E72D297353CC}">
              <c16:uniqueId val="{00000004-935B-4EB8-8F12-CD9D3C1A857D}"/>
            </c:ext>
          </c:extLst>
        </c:ser>
        <c:ser>
          <c:idx val="2"/>
          <c:order val="2"/>
          <c:spPr>
            <a:ln w="15875" cap="rnd">
              <a:solidFill>
                <a:srgbClr val="FF0000"/>
              </a:solidFill>
              <a:prstDash val="sysDash"/>
              <a:round/>
            </a:ln>
            <a:effectLst/>
          </c:spPr>
          <c:marker>
            <c:symbol val="none"/>
          </c:marker>
          <c:xVal>
            <c:strRef>
              <c:f>'   VL   '!$E$53:$G$53</c:f>
              <c:strCache>
                <c:ptCount val="3"/>
                <c:pt idx="0">
                  <c:v>VEM</c:v>
                </c:pt>
                <c:pt idx="1">
                  <c:v>DVE</c:v>
                </c:pt>
                <c:pt idx="2">
                  <c:v>OEB</c:v>
                </c:pt>
              </c:strCache>
            </c:strRef>
          </c:xVal>
          <c:yVal>
            <c:numRef>
              <c:f>'   VL   '!$J$58:$L$58</c:f>
              <c:numCache>
                <c:formatCode>0%</c:formatCode>
                <c:ptCount val="3"/>
                <c:pt idx="0">
                  <c:v>1</c:v>
                </c:pt>
                <c:pt idx="1">
                  <c:v>1</c:v>
                </c:pt>
                <c:pt idx="2">
                  <c:v>1</c:v>
                </c:pt>
              </c:numCache>
            </c:numRef>
          </c:yVal>
          <c:smooth val="0"/>
          <c:extLst>
            <c:ext xmlns:c16="http://schemas.microsoft.com/office/drawing/2014/chart" uri="{C3380CC4-5D6E-409C-BE32-E72D297353CC}">
              <c16:uniqueId val="{00000005-935B-4EB8-8F12-CD9D3C1A857D}"/>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050" baseline="0">
                <a:latin typeface="Arial" panose="020B0604020202020204" pitchFamily="34" charset="0"/>
                <a:cs typeface="Arial" panose="020B0604020202020204" pitchFamily="34" charset="0"/>
              </a:rPr>
              <a:t>Système hollandais</a:t>
            </a:r>
            <a:endParaRPr lang="fr-BE" sz="1050">
              <a:latin typeface="Arial" panose="020B0604020202020204" pitchFamily="34" charset="0"/>
              <a:cs typeface="Arial" panose="020B0604020202020204" pitchFamily="34" charset="0"/>
            </a:endParaRPr>
          </a:p>
        </c:rich>
      </c:tx>
      <c:overlay val="0"/>
      <c:spPr>
        <a:noFill/>
        <a:ln>
          <a:noFill/>
        </a:ln>
        <a:effectLst/>
      </c:spPr>
    </c:title>
    <c:autoTitleDeleted val="0"/>
    <c:plotArea>
      <c:layout/>
      <c:barChart>
        <c:barDir val="col"/>
        <c:grouping val="stacked"/>
        <c:varyColors val="0"/>
        <c:ser>
          <c:idx val="0"/>
          <c:order val="0"/>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0" tIns="19050" rIns="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   GL   '!$E$70:$F$70</c:f>
              <c:strCache>
                <c:ptCount val="2"/>
                <c:pt idx="0">
                  <c:v>VEM</c:v>
                </c:pt>
                <c:pt idx="1">
                  <c:v>DVE</c:v>
                </c:pt>
              </c:strCache>
            </c:strRef>
          </c:cat>
          <c:val>
            <c:numRef>
              <c:f>'   GL   '!$E$71:$F$71</c:f>
              <c:numCache>
                <c:formatCode>0%</c:formatCode>
                <c:ptCount val="2"/>
                <c:pt idx="0">
                  <c:v>0</c:v>
                </c:pt>
                <c:pt idx="1">
                  <c:v>0</c:v>
                </c:pt>
              </c:numCache>
            </c:numRef>
          </c:val>
          <c:extLst>
            <c:ext xmlns:c16="http://schemas.microsoft.com/office/drawing/2014/chart" uri="{C3380CC4-5D6E-409C-BE32-E72D297353CC}">
              <c16:uniqueId val="{00000000-A3D9-43BB-87B9-F38470A77E1B}"/>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strRef>
              <c:f>'   GL   '!$E$70:$F$70</c:f>
              <c:strCache>
                <c:ptCount val="2"/>
                <c:pt idx="0">
                  <c:v>VEM</c:v>
                </c:pt>
                <c:pt idx="1">
                  <c:v>DVE</c:v>
                </c:pt>
              </c:strCache>
            </c:strRef>
          </c:xVal>
          <c:yVal>
            <c:numRef>
              <c:f>'   GL   '!$E$73:$F$73</c:f>
              <c:numCache>
                <c:formatCode>0.0</c:formatCode>
                <c:ptCount val="2"/>
                <c:pt idx="0">
                  <c:v>0.3</c:v>
                </c:pt>
                <c:pt idx="1">
                  <c:v>0.3</c:v>
                </c:pt>
              </c:numCache>
            </c:numRef>
          </c:yVal>
          <c:smooth val="0"/>
          <c:extLst>
            <c:ext xmlns:c16="http://schemas.microsoft.com/office/drawing/2014/chart" uri="{C3380CC4-5D6E-409C-BE32-E72D297353CC}">
              <c16:uniqueId val="{00000003-A3D9-43BB-87B9-F38470A77E1B}"/>
            </c:ext>
          </c:extLst>
        </c:ser>
        <c:ser>
          <c:idx val="2"/>
          <c:order val="2"/>
          <c:spPr>
            <a:ln w="15875" cap="rnd">
              <a:solidFill>
                <a:srgbClr val="FF0000"/>
              </a:solidFill>
              <a:prstDash val="sysDash"/>
              <a:round/>
            </a:ln>
            <a:effectLst/>
          </c:spPr>
          <c:marker>
            <c:symbol val="none"/>
          </c:marker>
          <c:xVal>
            <c:strRef>
              <c:f>'   GL   '!$E$70:$F$70</c:f>
              <c:strCache>
                <c:ptCount val="2"/>
                <c:pt idx="0">
                  <c:v>VEM</c:v>
                </c:pt>
                <c:pt idx="1">
                  <c:v>DVE</c:v>
                </c:pt>
              </c:strCache>
            </c:strRef>
          </c:xVal>
          <c:yVal>
            <c:numRef>
              <c:f>'   GL   '!$J$74:$L$74</c:f>
              <c:numCache>
                <c:formatCode>0%</c:formatCode>
                <c:ptCount val="3"/>
                <c:pt idx="0">
                  <c:v>1</c:v>
                </c:pt>
                <c:pt idx="1">
                  <c:v>1</c:v>
                </c:pt>
                <c:pt idx="2">
                  <c:v>1</c:v>
                </c:pt>
              </c:numCache>
            </c:numRef>
          </c:yVal>
          <c:smooth val="0"/>
          <c:extLst>
            <c:ext xmlns:c16="http://schemas.microsoft.com/office/drawing/2014/chart" uri="{C3380CC4-5D6E-409C-BE32-E72D297353CC}">
              <c16:uniqueId val="{00000004-A3D9-43BB-87B9-F38470A77E1B}"/>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vert="horz"/>
          <a:lstStyle/>
          <a:p>
            <a:pPr>
              <a:defRPr sz="1000" b="0"/>
            </a:pPr>
            <a:r>
              <a:rPr lang="fr-BE" sz="1000" b="0"/>
              <a:t>Système français</a:t>
            </a:r>
          </a:p>
        </c:rich>
      </c:tx>
      <c:overlay val="0"/>
      <c:spPr>
        <a:noFill/>
        <a:ln>
          <a:noFill/>
        </a:ln>
        <a:effectLst/>
      </c:spPr>
    </c:title>
    <c:autoTitleDeleted val="0"/>
    <c:plotArea>
      <c:layout/>
      <c:barChart>
        <c:barDir val="col"/>
        <c:grouping val="stacked"/>
        <c:varyColors val="0"/>
        <c:ser>
          <c:idx val="0"/>
          <c:order val="0"/>
          <c:spPr>
            <a:solidFill>
              <a:srgbClr val="FFDB43"/>
            </a:solidFill>
            <a:ln>
              <a:noFill/>
            </a:ln>
            <a:effectLst/>
          </c:spPr>
          <c:invertIfNegative val="0"/>
          <c:dLbls>
            <c:spPr>
              <a:noFill/>
              <a:ln>
                <a:noFill/>
              </a:ln>
              <a:effectLst/>
            </c:spPr>
            <c:txPr>
              <a:bodyPr rot="0" vert="horz"/>
              <a:lstStyle/>
              <a:p>
                <a:pPr>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GL   '!$J$70:$L$70</c:f>
              <c:strCache>
                <c:ptCount val="3"/>
                <c:pt idx="0">
                  <c:v>UFL</c:v>
                </c:pt>
                <c:pt idx="1">
                  <c:v>PDIN</c:v>
                </c:pt>
                <c:pt idx="2">
                  <c:v>PDIE</c:v>
                </c:pt>
              </c:strCache>
            </c:strRef>
          </c:cat>
          <c:val>
            <c:numRef>
              <c:f>'   GL   '!$J$71:$L$71</c:f>
              <c:numCache>
                <c:formatCode>0%</c:formatCode>
                <c:ptCount val="3"/>
                <c:pt idx="0">
                  <c:v>0</c:v>
                </c:pt>
                <c:pt idx="1">
                  <c:v>0</c:v>
                </c:pt>
                <c:pt idx="2">
                  <c:v>0</c:v>
                </c:pt>
              </c:numCache>
            </c:numRef>
          </c:val>
          <c:extLst>
            <c:ext xmlns:c16="http://schemas.microsoft.com/office/drawing/2014/chart" uri="{C3380CC4-5D6E-409C-BE32-E72D297353CC}">
              <c16:uniqueId val="{00000000-EFB2-4DA4-ABA2-5CFF3C513501}"/>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strRef>
              <c:f>'   GL   '!$J$70:$L$70</c:f>
              <c:strCache>
                <c:ptCount val="3"/>
                <c:pt idx="0">
                  <c:v>UFL</c:v>
                </c:pt>
                <c:pt idx="1">
                  <c:v>PDIN</c:v>
                </c:pt>
                <c:pt idx="2">
                  <c:v>PDIE</c:v>
                </c:pt>
              </c:strCache>
            </c:strRef>
          </c:xVal>
          <c:yVal>
            <c:numRef>
              <c:f>'   GL   '!$J$73:$L$73</c:f>
              <c:numCache>
                <c:formatCode>0.0</c:formatCode>
                <c:ptCount val="3"/>
                <c:pt idx="0">
                  <c:v>0.3</c:v>
                </c:pt>
                <c:pt idx="1">
                  <c:v>0.3</c:v>
                </c:pt>
                <c:pt idx="2">
                  <c:v>0.3</c:v>
                </c:pt>
              </c:numCache>
            </c:numRef>
          </c:yVal>
          <c:smooth val="0"/>
          <c:extLst>
            <c:ext xmlns:c16="http://schemas.microsoft.com/office/drawing/2014/chart" uri="{C3380CC4-5D6E-409C-BE32-E72D297353CC}">
              <c16:uniqueId val="{00000001-EFB2-4DA4-ABA2-5CFF3C513501}"/>
            </c:ext>
          </c:extLst>
        </c:ser>
        <c:ser>
          <c:idx val="2"/>
          <c:order val="2"/>
          <c:spPr>
            <a:ln w="15875" cap="rnd">
              <a:solidFill>
                <a:srgbClr val="FF0000"/>
              </a:solidFill>
              <a:prstDash val="sysDash"/>
              <a:round/>
            </a:ln>
            <a:effectLst/>
          </c:spPr>
          <c:marker>
            <c:symbol val="none"/>
          </c:marker>
          <c:xVal>
            <c:strRef>
              <c:f>'   GL   '!$J$70:$L$70</c:f>
              <c:strCache>
                <c:ptCount val="3"/>
                <c:pt idx="0">
                  <c:v>UFL</c:v>
                </c:pt>
                <c:pt idx="1">
                  <c:v>PDIN</c:v>
                </c:pt>
                <c:pt idx="2">
                  <c:v>PDIE</c:v>
                </c:pt>
              </c:strCache>
            </c:strRef>
          </c:xVal>
          <c:yVal>
            <c:numRef>
              <c:f>'   GL   '!$J$74:$L$74</c:f>
              <c:numCache>
                <c:formatCode>0%</c:formatCode>
                <c:ptCount val="3"/>
                <c:pt idx="0">
                  <c:v>1</c:v>
                </c:pt>
                <c:pt idx="1">
                  <c:v>1</c:v>
                </c:pt>
                <c:pt idx="2">
                  <c:v>1</c:v>
                </c:pt>
              </c:numCache>
            </c:numRef>
          </c:yVal>
          <c:smooth val="0"/>
          <c:extLst>
            <c:ext xmlns:c16="http://schemas.microsoft.com/office/drawing/2014/chart" uri="{C3380CC4-5D6E-409C-BE32-E72D297353CC}">
              <c16:uniqueId val="{00000002-EFB2-4DA4-ABA2-5CFF3C513501}"/>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sz="900"/>
            </a:pPr>
            <a:endParaRPr lang="fr-FR"/>
          </a:p>
        </c:txPr>
        <c:crossAx val="505273808"/>
        <c:crosses val="autoZero"/>
        <c:auto val="1"/>
        <c:lblAlgn val="ctr"/>
        <c:lblOffset val="100"/>
        <c:noMultiLvlLbl val="0"/>
      </c:catAx>
      <c:valAx>
        <c:axId val="505273808"/>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BE" sz="1000"/>
              <a:t>Système hollandais</a:t>
            </a:r>
          </a:p>
        </c:rich>
      </c:tx>
      <c:overlay val="0"/>
      <c:spPr>
        <a:noFill/>
        <a:ln>
          <a:noFill/>
        </a:ln>
        <a:effectLst/>
      </c:spPr>
    </c:title>
    <c:autoTitleDeleted val="0"/>
    <c:plotArea>
      <c:layout/>
      <c:barChart>
        <c:barDir val="col"/>
        <c:grouping val="stacked"/>
        <c:varyColors val="0"/>
        <c:ser>
          <c:idx val="0"/>
          <c:order val="0"/>
          <c:spPr>
            <a:solidFill>
              <a:schemeClr val="accent5">
                <a:lumMod val="60000"/>
                <a:lumOff val="40000"/>
              </a:schemeClr>
            </a:solidFill>
            <a:ln>
              <a:noFill/>
            </a:ln>
            <a:effectLst/>
          </c:spPr>
          <c:invertIfNegative val="0"/>
          <c:dLbls>
            <c:dLbl>
              <c:idx val="0"/>
              <c:spPr>
                <a:noFill/>
                <a:ln>
                  <a:noFill/>
                </a:ln>
                <a:effectLst/>
              </c:spPr>
              <c:txPr>
                <a:bodyPr rot="0" spcFirstLastPara="1" vertOverflow="ellipsis" vert="horz" wrap="square" lIns="0" rIns="0"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4-4B72-4652-8415-8A281D192C1C}"/>
                </c:ext>
              </c:extLst>
            </c:dLbl>
            <c:dLbl>
              <c:idx val="1"/>
              <c:spPr>
                <a:noFill/>
                <a:ln>
                  <a:noFill/>
                </a:ln>
                <a:effectLst/>
              </c:spPr>
              <c:txPr>
                <a:bodyPr rot="0" spcFirstLastPara="1" vertOverflow="ellipsis" vert="horz" wrap="square" lIns="0" rIns="0"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3-4B72-4652-8415-8A281D192C1C}"/>
                </c:ext>
              </c:extLst>
            </c:dLbl>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GL   '!$E$70:$F$70</c:f>
              <c:strCache>
                <c:ptCount val="2"/>
                <c:pt idx="0">
                  <c:v>VEM</c:v>
                </c:pt>
                <c:pt idx="1">
                  <c:v>DVE</c:v>
                </c:pt>
              </c:strCache>
            </c:strRef>
          </c:cat>
          <c:val>
            <c:numRef>
              <c:f>'   GL   '!$E$71:$F$71</c:f>
              <c:numCache>
                <c:formatCode>0%</c:formatCode>
                <c:ptCount val="2"/>
                <c:pt idx="0">
                  <c:v>0</c:v>
                </c:pt>
                <c:pt idx="1">
                  <c:v>0</c:v>
                </c:pt>
              </c:numCache>
            </c:numRef>
          </c:val>
          <c:extLst>
            <c:ext xmlns:c16="http://schemas.microsoft.com/office/drawing/2014/chart" uri="{C3380CC4-5D6E-409C-BE32-E72D297353CC}">
              <c16:uniqueId val="{00000000-4B72-4652-8415-8A281D192C1C}"/>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strRef>
              <c:f>'   GL   '!$E$70:$F$70</c:f>
              <c:strCache>
                <c:ptCount val="2"/>
                <c:pt idx="0">
                  <c:v>VEM</c:v>
                </c:pt>
                <c:pt idx="1">
                  <c:v>DVE</c:v>
                </c:pt>
              </c:strCache>
            </c:strRef>
          </c:xVal>
          <c:yVal>
            <c:numRef>
              <c:f>'   GL   '!$E$73:$F$73</c:f>
              <c:numCache>
                <c:formatCode>0.0</c:formatCode>
                <c:ptCount val="2"/>
                <c:pt idx="0">
                  <c:v>0.3</c:v>
                </c:pt>
                <c:pt idx="1">
                  <c:v>0.3</c:v>
                </c:pt>
              </c:numCache>
            </c:numRef>
          </c:yVal>
          <c:smooth val="0"/>
          <c:extLst>
            <c:ext xmlns:c16="http://schemas.microsoft.com/office/drawing/2014/chart" uri="{C3380CC4-5D6E-409C-BE32-E72D297353CC}">
              <c16:uniqueId val="{00000001-4B72-4652-8415-8A281D192C1C}"/>
            </c:ext>
          </c:extLst>
        </c:ser>
        <c:ser>
          <c:idx val="2"/>
          <c:order val="2"/>
          <c:spPr>
            <a:ln w="15875" cap="rnd">
              <a:solidFill>
                <a:srgbClr val="FF0000"/>
              </a:solidFill>
              <a:prstDash val="sysDash"/>
              <a:round/>
            </a:ln>
            <a:effectLst/>
          </c:spPr>
          <c:marker>
            <c:symbol val="none"/>
          </c:marker>
          <c:xVal>
            <c:strRef>
              <c:f>'   GL   '!$E$70:$F$70</c:f>
              <c:strCache>
                <c:ptCount val="2"/>
                <c:pt idx="0">
                  <c:v>VEM</c:v>
                </c:pt>
                <c:pt idx="1">
                  <c:v>DVE</c:v>
                </c:pt>
              </c:strCache>
            </c:strRef>
          </c:xVal>
          <c:yVal>
            <c:numRef>
              <c:f>'   GL   '!$J$74:$L$74</c:f>
              <c:numCache>
                <c:formatCode>0%</c:formatCode>
                <c:ptCount val="3"/>
                <c:pt idx="0">
                  <c:v>1</c:v>
                </c:pt>
                <c:pt idx="1">
                  <c:v>1</c:v>
                </c:pt>
                <c:pt idx="2">
                  <c:v>1</c:v>
                </c:pt>
              </c:numCache>
            </c:numRef>
          </c:yVal>
          <c:smooth val="0"/>
          <c:extLst>
            <c:ext xmlns:c16="http://schemas.microsoft.com/office/drawing/2014/chart" uri="{C3380CC4-5D6E-409C-BE32-E72D297353CC}">
              <c16:uniqueId val="{00000002-4B72-4652-8415-8A281D192C1C}"/>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400" b="0" i="0" u="none" strike="noStrike" kern="1200" spc="0" baseline="0">
                <a:solidFill>
                  <a:schemeClr val="tx1">
                    <a:lumMod val="65000"/>
                    <a:lumOff val="35000"/>
                  </a:schemeClr>
                </a:solidFill>
                <a:latin typeface="+mn-lt"/>
                <a:ea typeface="+mn-ea"/>
                <a:cs typeface="+mn-cs"/>
              </a:defRPr>
            </a:pPr>
            <a:r>
              <a:rPr lang="fr-BE" sz="1050" baseline="0">
                <a:latin typeface="Arial" panose="020B0604020202020204" pitchFamily="34" charset="0"/>
                <a:cs typeface="Arial" panose="020B0604020202020204" pitchFamily="34" charset="0"/>
              </a:rPr>
              <a:t>Système Hollandais</a:t>
            </a:r>
            <a:endParaRPr lang="fr-BE" sz="1050">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t" anchorCtr="0"/>
        <a:lstStyle/>
        <a:p>
          <a:pPr>
            <a:defRPr sz="1400" b="0" i="0" u="none" strike="noStrike" kern="1200" spc="0" baseline="0">
              <a:solidFill>
                <a:schemeClr val="tx1">
                  <a:lumMod val="65000"/>
                  <a:lumOff val="35000"/>
                </a:schemeClr>
              </a:solidFill>
              <a:latin typeface="+mn-lt"/>
              <a:ea typeface="+mn-ea"/>
              <a:cs typeface="+mn-cs"/>
            </a:defRPr>
          </a:pPr>
          <a:endParaRPr lang="fr-BE"/>
        </a:p>
      </c:txPr>
    </c:title>
    <c:autoTitleDeleted val="0"/>
    <c:plotArea>
      <c:layout/>
      <c:barChart>
        <c:barDir val="col"/>
        <c:grouping val="stacked"/>
        <c:varyColors val="0"/>
        <c:ser>
          <c:idx val="0"/>
          <c:order val="0"/>
          <c:tx>
            <c:strRef>
              <c:f>'   TA   '!$H$36:$I$36</c:f>
              <c:strCache>
                <c:ptCount val="2"/>
                <c:pt idx="0">
                  <c:v>VEVI</c:v>
                </c:pt>
                <c:pt idx="1">
                  <c:v>DVE</c:v>
                </c:pt>
              </c:strCache>
            </c:strRef>
          </c:tx>
          <c:spPr>
            <a:solidFill>
              <a:schemeClr val="accent5">
                <a:lumMod val="60000"/>
                <a:lumOff val="40000"/>
              </a:schemeClr>
            </a:solidFill>
            <a:ln>
              <a:noFill/>
            </a:ln>
            <a:effectLst/>
          </c:spPr>
          <c:invertIfNegative val="0"/>
          <c:dLbls>
            <c:dLbl>
              <c:idx val="0"/>
              <c:dLblPos val="inEnd"/>
              <c:showLegendKey val="0"/>
              <c:showVal val="1"/>
              <c:showCatName val="0"/>
              <c:showSerName val="0"/>
              <c:showPercent val="0"/>
              <c:showBubbleSize val="0"/>
              <c:extLst>
                <c:ext xmlns:c15="http://schemas.microsoft.com/office/drawing/2012/chart" uri="{CE6537A1-D6FC-4f65-9D91-7224C49458BB}">
                  <c15:layout>
                    <c:manualLayout>
                      <c:w val="0.18097176370978119"/>
                      <c:h val="9.121778176774617E-2"/>
                    </c:manualLayout>
                  </c15:layout>
                </c:ext>
                <c:ext xmlns:c16="http://schemas.microsoft.com/office/drawing/2014/chart" uri="{C3380CC4-5D6E-409C-BE32-E72D297353CC}">
                  <c16:uniqueId val="{00000000-4014-4793-AEC9-7E7DA2BA7E8C}"/>
                </c:ext>
              </c:extLst>
            </c:dLbl>
            <c:dLbl>
              <c:idx val="1"/>
              <c:dLblPos val="inEnd"/>
              <c:showLegendKey val="0"/>
              <c:showVal val="1"/>
              <c:showCatName val="0"/>
              <c:showSerName val="0"/>
              <c:showPercent val="0"/>
              <c:showBubbleSize val="0"/>
              <c:extLst>
                <c:ext xmlns:c15="http://schemas.microsoft.com/office/drawing/2012/chart" uri="{CE6537A1-D6FC-4f65-9D91-7224C49458BB}">
                  <c15:layout>
                    <c:manualLayout>
                      <c:w val="0.18097176370978119"/>
                      <c:h val="9.121778176774617E-2"/>
                    </c:manualLayout>
                  </c15:layout>
                </c:ext>
                <c:ext xmlns:c16="http://schemas.microsoft.com/office/drawing/2014/chart" uri="{C3380CC4-5D6E-409C-BE32-E72D297353CC}">
                  <c16:uniqueId val="{00000001-4014-4793-AEC9-7E7DA2BA7E8C}"/>
                </c:ext>
              </c:extLst>
            </c:dLbl>
            <c:spPr>
              <a:noFill/>
              <a:ln>
                <a:noFill/>
              </a:ln>
              <a:effectLst/>
            </c:spPr>
            <c:txPr>
              <a:bodyPr rot="0" spcFirstLastPara="1" vertOverflow="overflow" horzOverflow="overflow" vert="horz" wrap="none" lIns="0" tIns="19050" rIns="0" bIns="19050" anchor="ctr" anchorCtr="1">
                <a:no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TA   '!$H$36:$I$36</c:f>
              <c:strCache>
                <c:ptCount val="2"/>
                <c:pt idx="0">
                  <c:v>VEVI</c:v>
                </c:pt>
                <c:pt idx="1">
                  <c:v>DVE</c:v>
                </c:pt>
              </c:strCache>
            </c:strRef>
          </c:cat>
          <c:val>
            <c:numRef>
              <c:f>'   TA   '!$H$39:$I$39</c:f>
              <c:numCache>
                <c:formatCode>0%</c:formatCode>
                <c:ptCount val="2"/>
                <c:pt idx="0">
                  <c:v>0</c:v>
                </c:pt>
                <c:pt idx="1">
                  <c:v>0</c:v>
                </c:pt>
              </c:numCache>
            </c:numRef>
          </c:val>
          <c:extLst>
            <c:ext xmlns:c16="http://schemas.microsoft.com/office/drawing/2014/chart" uri="{C3380CC4-5D6E-409C-BE32-E72D297353CC}">
              <c16:uniqueId val="{00000002-4014-4793-AEC9-7E7DA2BA7E8C}"/>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2"/>
          <c:order val="1"/>
          <c:tx>
            <c:strRef>
              <c:f>'   TA   '!$H$39:$I$39</c:f>
              <c:strCache>
                <c:ptCount val="2"/>
                <c:pt idx="0">
                  <c:v>0%</c:v>
                </c:pt>
                <c:pt idx="1">
                  <c:v>0%</c:v>
                </c:pt>
              </c:strCache>
            </c:strRef>
          </c:tx>
          <c:spPr>
            <a:ln w="15875" cap="rnd">
              <a:solidFill>
                <a:srgbClr val="FF0000"/>
              </a:solidFill>
              <a:prstDash val="sysDash"/>
              <a:round/>
            </a:ln>
            <a:effectLst/>
          </c:spPr>
          <c:marker>
            <c:symbol val="none"/>
          </c:marker>
          <c:xVal>
            <c:strRef>
              <c:f>'   TA   '!$H$36:$I$36</c:f>
              <c:strCache>
                <c:ptCount val="2"/>
                <c:pt idx="0">
                  <c:v>VEVI</c:v>
                </c:pt>
                <c:pt idx="1">
                  <c:v>DVE</c:v>
                </c:pt>
              </c:strCache>
            </c:strRef>
          </c:xVal>
          <c:yVal>
            <c:numRef>
              <c:f>'   TA   '!$E$73:$F$73</c:f>
              <c:numCache>
                <c:formatCode>0%</c:formatCode>
                <c:ptCount val="2"/>
                <c:pt idx="0">
                  <c:v>1</c:v>
                </c:pt>
                <c:pt idx="1">
                  <c:v>1</c:v>
                </c:pt>
              </c:numCache>
            </c:numRef>
          </c:yVal>
          <c:smooth val="0"/>
          <c:extLst>
            <c:ext xmlns:c16="http://schemas.microsoft.com/office/drawing/2014/chart" uri="{C3380CC4-5D6E-409C-BE32-E72D297353CC}">
              <c16:uniqueId val="{00000003-4014-4793-AEC9-7E7DA2BA7E8C}"/>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050" baseline="0">
                <a:latin typeface="Arial" panose="020B0604020202020204" pitchFamily="34" charset="0"/>
                <a:cs typeface="Arial" panose="020B0604020202020204" pitchFamily="34" charset="0"/>
              </a:rPr>
              <a:t>Système Français</a:t>
            </a:r>
            <a:endParaRPr lang="fr-BE" sz="1050">
              <a:latin typeface="Arial" panose="020B0604020202020204" pitchFamily="34" charset="0"/>
              <a:cs typeface="Arial" panose="020B0604020202020204" pitchFamily="34" charset="0"/>
            </a:endParaRPr>
          </a:p>
        </c:rich>
      </c:tx>
      <c:overlay val="0"/>
      <c:spPr>
        <a:noFill/>
        <a:ln>
          <a:noFill/>
        </a:ln>
        <a:effectLst/>
      </c:spPr>
    </c:title>
    <c:autoTitleDeleted val="0"/>
    <c:plotArea>
      <c:layout/>
      <c:barChart>
        <c:barDir val="col"/>
        <c:grouping val="stacked"/>
        <c:varyColors val="0"/>
        <c:ser>
          <c:idx val="0"/>
          <c:order val="0"/>
          <c:spPr>
            <a:solidFill>
              <a:srgbClr val="FFDB43"/>
            </a:solidFill>
          </c:spPr>
          <c:invertIfNegative val="0"/>
          <c:dLbls>
            <c:spPr>
              <a:noFill/>
              <a:ln>
                <a:noFill/>
              </a:ln>
              <a:effectLst/>
            </c:spPr>
            <c:txPr>
              <a:bodyPr wrap="square" lIns="38100" tIns="19050" rIns="38100" bIns="19050" anchor="ctr">
                <a:spAutoFit/>
              </a:bodyPr>
              <a:lstStyle/>
              <a:p>
                <a:pPr>
                  <a:defRPr sz="900">
                    <a:latin typeface="Arial" panose="020B0604020202020204" pitchFamily="34" charset="0"/>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TA   '!$K$36:$M$36</c:f>
              <c:strCache>
                <c:ptCount val="3"/>
                <c:pt idx="0">
                  <c:v>UFV</c:v>
                </c:pt>
                <c:pt idx="1">
                  <c:v>PDIN</c:v>
                </c:pt>
                <c:pt idx="2">
                  <c:v>PDIE</c:v>
                </c:pt>
              </c:strCache>
            </c:strRef>
          </c:cat>
          <c:val>
            <c:numRef>
              <c:f>'   TA   '!$K$39:$M$39</c:f>
              <c:numCache>
                <c:formatCode>0%</c:formatCode>
                <c:ptCount val="3"/>
                <c:pt idx="0">
                  <c:v>0</c:v>
                </c:pt>
                <c:pt idx="1">
                  <c:v>0</c:v>
                </c:pt>
                <c:pt idx="2">
                  <c:v>0</c:v>
                </c:pt>
              </c:numCache>
            </c:numRef>
          </c:val>
          <c:extLst>
            <c:ext xmlns:c16="http://schemas.microsoft.com/office/drawing/2014/chart" uri="{C3380CC4-5D6E-409C-BE32-E72D297353CC}">
              <c16:uniqueId val="{00000000-F638-4A5B-8E1F-D2C07A76A207}"/>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numRef>
              <c:f>'   TA   '!$J$69:$L$69</c:f>
              <c:numCache>
                <c:formatCode>General</c:formatCode>
                <c:ptCount val="3"/>
              </c:numCache>
            </c:numRef>
          </c:xVal>
          <c:yVal>
            <c:numRef>
              <c:f>'   TA   '!$J$72:$L$72</c:f>
              <c:numCache>
                <c:formatCode>0.0</c:formatCode>
                <c:ptCount val="3"/>
              </c:numCache>
            </c:numRef>
          </c:yVal>
          <c:smooth val="0"/>
          <c:extLst>
            <c:ext xmlns:c16="http://schemas.microsoft.com/office/drawing/2014/chart" uri="{C3380CC4-5D6E-409C-BE32-E72D297353CC}">
              <c16:uniqueId val="{00000001-F638-4A5B-8E1F-D2C07A76A207}"/>
            </c:ext>
          </c:extLst>
        </c:ser>
        <c:ser>
          <c:idx val="2"/>
          <c:order val="2"/>
          <c:spPr>
            <a:ln w="15875" cap="rnd">
              <a:solidFill>
                <a:srgbClr val="FF0000"/>
              </a:solidFill>
              <a:prstDash val="sysDash"/>
              <a:round/>
            </a:ln>
            <a:effectLst/>
          </c:spPr>
          <c:marker>
            <c:symbol val="none"/>
          </c:marker>
          <c:xVal>
            <c:strRef>
              <c:f>'   TA   '!$K$36:$M$36</c:f>
              <c:strCache>
                <c:ptCount val="3"/>
                <c:pt idx="0">
                  <c:v>UFV</c:v>
                </c:pt>
                <c:pt idx="1">
                  <c:v>PDIN</c:v>
                </c:pt>
                <c:pt idx="2">
                  <c:v>PDIE</c:v>
                </c:pt>
              </c:strCache>
            </c:strRef>
          </c:xVal>
          <c:yVal>
            <c:numRef>
              <c:f>'   TA   '!$J$73:$L$73</c:f>
              <c:numCache>
                <c:formatCode>0%</c:formatCode>
                <c:ptCount val="3"/>
                <c:pt idx="0">
                  <c:v>1</c:v>
                </c:pt>
                <c:pt idx="1">
                  <c:v>1</c:v>
                </c:pt>
                <c:pt idx="2">
                  <c:v>1</c:v>
                </c:pt>
              </c:numCache>
            </c:numRef>
          </c:yVal>
          <c:smooth val="0"/>
          <c:extLst>
            <c:ext xmlns:c16="http://schemas.microsoft.com/office/drawing/2014/chart" uri="{C3380CC4-5D6E-409C-BE32-E72D297353CC}">
              <c16:uniqueId val="{00000002-F638-4A5B-8E1F-D2C07A76A207}"/>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fr-BE" sz="1000" baseline="0">
                <a:latin typeface="Arial" panose="020B0604020202020204" pitchFamily="34" charset="0"/>
                <a:cs typeface="Arial" panose="020B0604020202020204" pitchFamily="34" charset="0"/>
              </a:rPr>
              <a:t>Système Français</a:t>
            </a:r>
            <a:endParaRPr lang="fr-BE" sz="1000">
              <a:latin typeface="Arial" panose="020B0604020202020204" pitchFamily="34" charset="0"/>
              <a:cs typeface="Arial" panose="020B0604020202020204" pitchFamily="34" charset="0"/>
            </a:endParaRPr>
          </a:p>
        </c:rich>
      </c:tx>
      <c:overlay val="0"/>
      <c:spPr>
        <a:noFill/>
        <a:ln>
          <a:noFill/>
        </a:ln>
        <a:effectLst/>
      </c:spPr>
    </c:title>
    <c:autoTitleDeleted val="0"/>
    <c:plotArea>
      <c:layout/>
      <c:barChart>
        <c:barDir val="col"/>
        <c:grouping val="stacked"/>
        <c:varyColors val="0"/>
        <c:ser>
          <c:idx val="0"/>
          <c:order val="0"/>
          <c:spPr>
            <a:solidFill>
              <a:srgbClr val="FFDB43"/>
            </a:solidFill>
          </c:spPr>
          <c:invertIfNegative val="0"/>
          <c:dLbls>
            <c:spPr>
              <a:noFill/>
              <a:ln>
                <a:noFill/>
              </a:ln>
              <a:effectLst/>
            </c:spPr>
            <c:txPr>
              <a:bodyPr wrap="square" lIns="36000" tIns="19050" rIns="36000" bIns="19050" anchor="ctr">
                <a:spAutoFit/>
              </a:bodyPr>
              <a:lstStyle/>
              <a:p>
                <a:pPr>
                  <a:defRPr sz="800">
                    <a:latin typeface="Arial" panose="020B0604020202020204" pitchFamily="34" charset="0"/>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   TA   '!$K$36:$M$36</c:f>
              <c:strCache>
                <c:ptCount val="3"/>
                <c:pt idx="0">
                  <c:v>UFV</c:v>
                </c:pt>
                <c:pt idx="1">
                  <c:v>PDIN</c:v>
                </c:pt>
                <c:pt idx="2">
                  <c:v>PDIE</c:v>
                </c:pt>
              </c:strCache>
            </c:strRef>
          </c:cat>
          <c:val>
            <c:numRef>
              <c:f>'   TA   '!$K$39:$M$39</c:f>
              <c:numCache>
                <c:formatCode>0%</c:formatCode>
                <c:ptCount val="3"/>
                <c:pt idx="0">
                  <c:v>0</c:v>
                </c:pt>
                <c:pt idx="1">
                  <c:v>0</c:v>
                </c:pt>
                <c:pt idx="2">
                  <c:v>0</c:v>
                </c:pt>
              </c:numCache>
            </c:numRef>
          </c:val>
          <c:extLst>
            <c:ext xmlns:c16="http://schemas.microsoft.com/office/drawing/2014/chart" uri="{C3380CC4-5D6E-409C-BE32-E72D297353CC}">
              <c16:uniqueId val="{00000000-7DB6-4845-BD79-3FBE7C2FD274}"/>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numRef>
              <c:f>'   TA   '!$J$69:$L$69</c:f>
              <c:numCache>
                <c:formatCode>General</c:formatCode>
                <c:ptCount val="3"/>
              </c:numCache>
            </c:numRef>
          </c:xVal>
          <c:yVal>
            <c:numRef>
              <c:f>'   TA   '!$J$72:$L$72</c:f>
              <c:numCache>
                <c:formatCode>0.0</c:formatCode>
                <c:ptCount val="3"/>
              </c:numCache>
            </c:numRef>
          </c:yVal>
          <c:smooth val="0"/>
          <c:extLst>
            <c:ext xmlns:c16="http://schemas.microsoft.com/office/drawing/2014/chart" uri="{C3380CC4-5D6E-409C-BE32-E72D297353CC}">
              <c16:uniqueId val="{00000001-7DB6-4845-BD79-3FBE7C2FD274}"/>
            </c:ext>
          </c:extLst>
        </c:ser>
        <c:ser>
          <c:idx val="2"/>
          <c:order val="2"/>
          <c:spPr>
            <a:ln w="15875" cap="rnd">
              <a:solidFill>
                <a:srgbClr val="FF0000"/>
              </a:solidFill>
              <a:prstDash val="sysDash"/>
              <a:round/>
            </a:ln>
            <a:effectLst/>
          </c:spPr>
          <c:marker>
            <c:symbol val="none"/>
          </c:marker>
          <c:xVal>
            <c:strRef>
              <c:f>'   TA   '!$K$36:$M$36</c:f>
              <c:strCache>
                <c:ptCount val="3"/>
                <c:pt idx="0">
                  <c:v>UFV</c:v>
                </c:pt>
                <c:pt idx="1">
                  <c:v>PDIN</c:v>
                </c:pt>
                <c:pt idx="2">
                  <c:v>PDIE</c:v>
                </c:pt>
              </c:strCache>
            </c:strRef>
          </c:xVal>
          <c:yVal>
            <c:numRef>
              <c:f>'   TA   '!$J$73:$L$73</c:f>
              <c:numCache>
                <c:formatCode>0%</c:formatCode>
                <c:ptCount val="3"/>
                <c:pt idx="0">
                  <c:v>1</c:v>
                </c:pt>
                <c:pt idx="1">
                  <c:v>1</c:v>
                </c:pt>
                <c:pt idx="2">
                  <c:v>1</c:v>
                </c:pt>
              </c:numCache>
            </c:numRef>
          </c:yVal>
          <c:smooth val="0"/>
          <c:extLst>
            <c:ext xmlns:c16="http://schemas.microsoft.com/office/drawing/2014/chart" uri="{C3380CC4-5D6E-409C-BE32-E72D297353CC}">
              <c16:uniqueId val="{00000002-7DB6-4845-BD79-3FBE7C2FD274}"/>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BE" sz="1000"/>
              <a:t>Système Hollandais</a:t>
            </a: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barChart>
        <c:barDir val="col"/>
        <c:grouping val="stacked"/>
        <c:varyColors val="0"/>
        <c:ser>
          <c:idx val="0"/>
          <c:order val="0"/>
          <c:tx>
            <c:strRef>
              <c:f>'   TA   '!$H$36:$I$36</c:f>
              <c:strCache>
                <c:ptCount val="2"/>
                <c:pt idx="0">
                  <c:v>VEVI</c:v>
                </c:pt>
                <c:pt idx="1">
                  <c:v>DVE</c:v>
                </c:pt>
              </c:strCache>
            </c:strRef>
          </c:tx>
          <c:spPr>
            <a:solidFill>
              <a:schemeClr val="accent5">
                <a:lumMod val="60000"/>
                <a:lumOff val="40000"/>
              </a:schemeClr>
            </a:solidFill>
            <a:ln>
              <a:noFill/>
            </a:ln>
            <a:effectLst/>
          </c:spPr>
          <c:invertIfNegative val="0"/>
          <c:dLbls>
            <c:dLbl>
              <c:idx val="0"/>
              <c:spPr>
                <a:noFill/>
                <a:ln>
                  <a:noFill/>
                </a:ln>
                <a:effectLst/>
              </c:spPr>
              <c:txPr>
                <a:bodyPr rot="0" spcFirstLastPara="1" vertOverflow="ellipsis" vert="horz" wrap="square" lIns="0" rIns="0"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extLst>
                <c:ext xmlns:c15="http://schemas.microsoft.com/office/drawing/2012/chart" uri="{CE6537A1-D6FC-4f65-9D91-7224C49458BB}">
                  <c15:layout>
                    <c:manualLayout>
                      <c:w val="0.18097176370978119"/>
                      <c:h val="9.121778176774617E-2"/>
                    </c:manualLayout>
                  </c15:layout>
                </c:ext>
                <c:ext xmlns:c16="http://schemas.microsoft.com/office/drawing/2014/chart" uri="{C3380CC4-5D6E-409C-BE32-E72D297353CC}">
                  <c16:uniqueId val="{00000000-EAE5-4C2D-926C-198CBEEE49D0}"/>
                </c:ext>
              </c:extLst>
            </c:dLbl>
            <c:dLbl>
              <c:idx val="1"/>
              <c:spPr>
                <a:noFill/>
                <a:ln>
                  <a:noFill/>
                </a:ln>
                <a:effectLst/>
              </c:spPr>
              <c:txPr>
                <a:bodyPr rot="0" spcFirstLastPara="1" vertOverflow="ellipsis" vert="horz" wrap="square" lIns="0" rIns="0"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extLst>
                <c:ext xmlns:c15="http://schemas.microsoft.com/office/drawing/2012/chart" uri="{CE6537A1-D6FC-4f65-9D91-7224C49458BB}">
                  <c15:layout>
                    <c:manualLayout>
                      <c:w val="0.18097176370978119"/>
                      <c:h val="9.121778176774617E-2"/>
                    </c:manualLayout>
                  </c15:layout>
                </c:ext>
                <c:ext xmlns:c16="http://schemas.microsoft.com/office/drawing/2014/chart" uri="{C3380CC4-5D6E-409C-BE32-E72D297353CC}">
                  <c16:uniqueId val="{00000001-EAE5-4C2D-926C-198CBEEE49D0}"/>
                </c:ext>
              </c:extLst>
            </c:dLbl>
            <c:spPr>
              <a:noFill/>
              <a:ln>
                <a:noFill/>
              </a:ln>
              <a:effectLst/>
            </c:spPr>
            <c:txPr>
              <a:bodyPr rot="0" spcFirstLastPara="1" vertOverflow="ellipsis" vert="horz" wrap="square" lIns="36000" rIns="36000"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TA   '!$H$36:$I$36</c:f>
              <c:strCache>
                <c:ptCount val="2"/>
                <c:pt idx="0">
                  <c:v>VEVI</c:v>
                </c:pt>
                <c:pt idx="1">
                  <c:v>DVE</c:v>
                </c:pt>
              </c:strCache>
            </c:strRef>
          </c:cat>
          <c:val>
            <c:numRef>
              <c:f>'   TA   '!$H$39:$I$39</c:f>
              <c:numCache>
                <c:formatCode>0%</c:formatCode>
                <c:ptCount val="2"/>
                <c:pt idx="0">
                  <c:v>0</c:v>
                </c:pt>
                <c:pt idx="1">
                  <c:v>0</c:v>
                </c:pt>
              </c:numCache>
            </c:numRef>
          </c:val>
          <c:extLst>
            <c:ext xmlns:c16="http://schemas.microsoft.com/office/drawing/2014/chart" uri="{C3380CC4-5D6E-409C-BE32-E72D297353CC}">
              <c16:uniqueId val="{00000002-EAE5-4C2D-926C-198CBEEE49D0}"/>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2"/>
          <c:order val="1"/>
          <c:tx>
            <c:strRef>
              <c:f>'   TA   '!$H$39:$I$39</c:f>
              <c:strCache>
                <c:ptCount val="2"/>
                <c:pt idx="0">
                  <c:v>0%</c:v>
                </c:pt>
                <c:pt idx="1">
                  <c:v>0%</c:v>
                </c:pt>
              </c:strCache>
            </c:strRef>
          </c:tx>
          <c:spPr>
            <a:ln w="15875" cap="rnd">
              <a:solidFill>
                <a:srgbClr val="FF0000"/>
              </a:solidFill>
              <a:prstDash val="sysDash"/>
              <a:round/>
            </a:ln>
            <a:effectLst/>
          </c:spPr>
          <c:marker>
            <c:symbol val="none"/>
          </c:marker>
          <c:xVal>
            <c:strRef>
              <c:f>'   TA   '!$H$36:$I$36</c:f>
              <c:strCache>
                <c:ptCount val="2"/>
                <c:pt idx="0">
                  <c:v>VEVI</c:v>
                </c:pt>
                <c:pt idx="1">
                  <c:v>DVE</c:v>
                </c:pt>
              </c:strCache>
            </c:strRef>
          </c:xVal>
          <c:yVal>
            <c:numRef>
              <c:f>'   TA   '!$E$73:$F$73</c:f>
              <c:numCache>
                <c:formatCode>0%</c:formatCode>
                <c:ptCount val="2"/>
                <c:pt idx="0">
                  <c:v>1</c:v>
                </c:pt>
                <c:pt idx="1">
                  <c:v>1</c:v>
                </c:pt>
              </c:numCache>
            </c:numRef>
          </c:yVal>
          <c:smooth val="0"/>
          <c:extLst>
            <c:ext xmlns:c16="http://schemas.microsoft.com/office/drawing/2014/chart" uri="{C3380CC4-5D6E-409C-BE32-E72D297353CC}">
              <c16:uniqueId val="{00000003-EAE5-4C2D-926C-198CBEEE49D0}"/>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min val="0"/>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solidFill>
              <a:srgbClr val="FFDB4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VA   '!$J$54:$L$54</c:f>
              <c:strCache>
                <c:ptCount val="3"/>
                <c:pt idx="0">
                  <c:v>UFL</c:v>
                </c:pt>
                <c:pt idx="1">
                  <c:v>PDIN</c:v>
                </c:pt>
                <c:pt idx="2">
                  <c:v>PDIE</c:v>
                </c:pt>
              </c:strCache>
            </c:strRef>
          </c:cat>
          <c:val>
            <c:numRef>
              <c:f>'   VA   '!$J$55:$L$55</c:f>
              <c:numCache>
                <c:formatCode>0%</c:formatCode>
                <c:ptCount val="3"/>
                <c:pt idx="0">
                  <c:v>0</c:v>
                </c:pt>
                <c:pt idx="1">
                  <c:v>0</c:v>
                </c:pt>
                <c:pt idx="2">
                  <c:v>0</c:v>
                </c:pt>
              </c:numCache>
            </c:numRef>
          </c:val>
          <c:extLst>
            <c:ext xmlns:c16="http://schemas.microsoft.com/office/drawing/2014/chart" uri="{C3380CC4-5D6E-409C-BE32-E72D297353CC}">
              <c16:uniqueId val="{00000000-CBE0-4CB6-A4EA-778F8A8C678B}"/>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strRef>
              <c:f>'   VA   '!$J$54:$L$54</c:f>
              <c:strCache>
                <c:ptCount val="3"/>
                <c:pt idx="0">
                  <c:v>UFL</c:v>
                </c:pt>
                <c:pt idx="1">
                  <c:v>PDIN</c:v>
                </c:pt>
                <c:pt idx="2">
                  <c:v>PDIE</c:v>
                </c:pt>
              </c:strCache>
            </c:strRef>
          </c:xVal>
          <c:yVal>
            <c:numRef>
              <c:f>'   VA   '!$J$57:$L$57</c:f>
              <c:numCache>
                <c:formatCode>0.0</c:formatCode>
                <c:ptCount val="3"/>
                <c:pt idx="0">
                  <c:v>0.3</c:v>
                </c:pt>
                <c:pt idx="1">
                  <c:v>0.3</c:v>
                </c:pt>
                <c:pt idx="2">
                  <c:v>0.3</c:v>
                </c:pt>
              </c:numCache>
            </c:numRef>
          </c:yVal>
          <c:smooth val="0"/>
          <c:extLst>
            <c:ext xmlns:c16="http://schemas.microsoft.com/office/drawing/2014/chart" uri="{C3380CC4-5D6E-409C-BE32-E72D297353CC}">
              <c16:uniqueId val="{00000004-CBE0-4CB6-A4EA-778F8A8C678B}"/>
            </c:ext>
          </c:extLst>
        </c:ser>
        <c:ser>
          <c:idx val="2"/>
          <c:order val="2"/>
          <c:spPr>
            <a:ln w="15875" cap="rnd">
              <a:solidFill>
                <a:srgbClr val="FF0000"/>
              </a:solidFill>
              <a:prstDash val="sysDash"/>
              <a:round/>
            </a:ln>
            <a:effectLst/>
          </c:spPr>
          <c:marker>
            <c:symbol val="none"/>
          </c:marker>
          <c:xVal>
            <c:strRef>
              <c:f>'   VA   '!$J$54:$L$54</c:f>
              <c:strCache>
                <c:ptCount val="3"/>
                <c:pt idx="0">
                  <c:v>UFL</c:v>
                </c:pt>
                <c:pt idx="1">
                  <c:v>PDIN</c:v>
                </c:pt>
                <c:pt idx="2">
                  <c:v>PDIE</c:v>
                </c:pt>
              </c:strCache>
            </c:strRef>
          </c:xVal>
          <c:yVal>
            <c:numRef>
              <c:f>'   VA   '!$J$58:$L$58</c:f>
              <c:numCache>
                <c:formatCode>0%</c:formatCode>
                <c:ptCount val="3"/>
                <c:pt idx="0">
                  <c:v>1</c:v>
                </c:pt>
                <c:pt idx="1">
                  <c:v>1</c:v>
                </c:pt>
                <c:pt idx="2">
                  <c:v>1</c:v>
                </c:pt>
              </c:numCache>
            </c:numRef>
          </c:yVal>
          <c:smooth val="0"/>
          <c:extLst>
            <c:ext xmlns:c16="http://schemas.microsoft.com/office/drawing/2014/chart" uri="{C3380CC4-5D6E-409C-BE32-E72D297353CC}">
              <c16:uniqueId val="{00000005-CBE0-4CB6-A4EA-778F8A8C678B}"/>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stacked"/>
        <c:varyColors val="0"/>
        <c:ser>
          <c:idx val="0"/>
          <c:order val="0"/>
          <c:spPr>
            <a:solidFill>
              <a:srgbClr val="FFDB4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VA   '!$J$54:$L$54</c:f>
              <c:strCache>
                <c:ptCount val="3"/>
                <c:pt idx="0">
                  <c:v>UFL</c:v>
                </c:pt>
                <c:pt idx="1">
                  <c:v>PDIN</c:v>
                </c:pt>
                <c:pt idx="2">
                  <c:v>PDIE</c:v>
                </c:pt>
              </c:strCache>
            </c:strRef>
          </c:cat>
          <c:val>
            <c:numRef>
              <c:f>'   VA   '!$J$55:$L$55</c:f>
              <c:numCache>
                <c:formatCode>0%</c:formatCode>
                <c:ptCount val="3"/>
                <c:pt idx="0">
                  <c:v>0</c:v>
                </c:pt>
                <c:pt idx="1">
                  <c:v>0</c:v>
                </c:pt>
                <c:pt idx="2">
                  <c:v>0</c:v>
                </c:pt>
              </c:numCache>
            </c:numRef>
          </c:val>
          <c:extLst>
            <c:ext xmlns:c16="http://schemas.microsoft.com/office/drawing/2014/chart" uri="{C3380CC4-5D6E-409C-BE32-E72D297353CC}">
              <c16:uniqueId val="{00000000-E863-45F0-A5FF-9D4D079E15A9}"/>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strRef>
              <c:f>'   VA   '!$J$54:$L$54</c:f>
              <c:strCache>
                <c:ptCount val="3"/>
                <c:pt idx="0">
                  <c:v>UFL</c:v>
                </c:pt>
                <c:pt idx="1">
                  <c:v>PDIN</c:v>
                </c:pt>
                <c:pt idx="2">
                  <c:v>PDIE</c:v>
                </c:pt>
              </c:strCache>
            </c:strRef>
          </c:xVal>
          <c:yVal>
            <c:numRef>
              <c:f>'   VA   '!$J$57:$L$57</c:f>
              <c:numCache>
                <c:formatCode>0.0</c:formatCode>
                <c:ptCount val="3"/>
                <c:pt idx="0">
                  <c:v>0.3</c:v>
                </c:pt>
                <c:pt idx="1">
                  <c:v>0.3</c:v>
                </c:pt>
                <c:pt idx="2">
                  <c:v>0.3</c:v>
                </c:pt>
              </c:numCache>
            </c:numRef>
          </c:yVal>
          <c:smooth val="0"/>
          <c:extLst>
            <c:ext xmlns:c16="http://schemas.microsoft.com/office/drawing/2014/chart" uri="{C3380CC4-5D6E-409C-BE32-E72D297353CC}">
              <c16:uniqueId val="{00000001-E863-45F0-A5FF-9D4D079E15A9}"/>
            </c:ext>
          </c:extLst>
        </c:ser>
        <c:ser>
          <c:idx val="2"/>
          <c:order val="2"/>
          <c:spPr>
            <a:ln w="15875" cap="rnd">
              <a:solidFill>
                <a:srgbClr val="FF0000"/>
              </a:solidFill>
              <a:prstDash val="sysDash"/>
              <a:round/>
            </a:ln>
            <a:effectLst/>
          </c:spPr>
          <c:marker>
            <c:symbol val="none"/>
          </c:marker>
          <c:xVal>
            <c:strRef>
              <c:f>'   VA   '!$J$54:$L$54</c:f>
              <c:strCache>
                <c:ptCount val="3"/>
                <c:pt idx="0">
                  <c:v>UFL</c:v>
                </c:pt>
                <c:pt idx="1">
                  <c:v>PDIN</c:v>
                </c:pt>
                <c:pt idx="2">
                  <c:v>PDIE</c:v>
                </c:pt>
              </c:strCache>
            </c:strRef>
          </c:xVal>
          <c:yVal>
            <c:numRef>
              <c:f>'   VA   '!$J$58:$L$58</c:f>
              <c:numCache>
                <c:formatCode>0%</c:formatCode>
                <c:ptCount val="3"/>
                <c:pt idx="0">
                  <c:v>1</c:v>
                </c:pt>
                <c:pt idx="1">
                  <c:v>1</c:v>
                </c:pt>
                <c:pt idx="2">
                  <c:v>1</c:v>
                </c:pt>
              </c:numCache>
            </c:numRef>
          </c:yVal>
          <c:smooth val="0"/>
          <c:extLst>
            <c:ext xmlns:c16="http://schemas.microsoft.com/office/drawing/2014/chart" uri="{C3380CC4-5D6E-409C-BE32-E72D297353CC}">
              <c16:uniqueId val="{00000002-E863-45F0-A5FF-9D4D079E15A9}"/>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solidFill>
              <a:srgbClr val="FFDB4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GR   '!$J$49:$L$49</c:f>
              <c:strCache>
                <c:ptCount val="3"/>
                <c:pt idx="0">
                  <c:v>UFL</c:v>
                </c:pt>
                <c:pt idx="1">
                  <c:v>PDIN</c:v>
                </c:pt>
                <c:pt idx="2">
                  <c:v>PDIE</c:v>
                </c:pt>
              </c:strCache>
            </c:strRef>
          </c:cat>
          <c:val>
            <c:numRef>
              <c:f>'   GR   '!$J$50:$L$50</c:f>
              <c:numCache>
                <c:formatCode>0%</c:formatCode>
                <c:ptCount val="3"/>
                <c:pt idx="0">
                  <c:v>0</c:v>
                </c:pt>
                <c:pt idx="1">
                  <c:v>0</c:v>
                </c:pt>
                <c:pt idx="2">
                  <c:v>0</c:v>
                </c:pt>
              </c:numCache>
            </c:numRef>
          </c:val>
          <c:extLst>
            <c:ext xmlns:c16="http://schemas.microsoft.com/office/drawing/2014/chart" uri="{C3380CC4-5D6E-409C-BE32-E72D297353CC}">
              <c16:uniqueId val="{00000000-7A35-4CD9-BD8C-12BADE217F56}"/>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strRef>
              <c:f>'   GR   '!$J$49:$L$49</c:f>
              <c:strCache>
                <c:ptCount val="3"/>
                <c:pt idx="0">
                  <c:v>UFL</c:v>
                </c:pt>
                <c:pt idx="1">
                  <c:v>PDIN</c:v>
                </c:pt>
                <c:pt idx="2">
                  <c:v>PDIE</c:v>
                </c:pt>
              </c:strCache>
            </c:strRef>
          </c:xVal>
          <c:yVal>
            <c:numRef>
              <c:f>'   GR   '!$J$52:$L$52</c:f>
              <c:numCache>
                <c:formatCode>0.0</c:formatCode>
                <c:ptCount val="3"/>
                <c:pt idx="0">
                  <c:v>0.3</c:v>
                </c:pt>
                <c:pt idx="1">
                  <c:v>0.3</c:v>
                </c:pt>
                <c:pt idx="2">
                  <c:v>0.3</c:v>
                </c:pt>
              </c:numCache>
            </c:numRef>
          </c:yVal>
          <c:smooth val="0"/>
          <c:extLst>
            <c:ext xmlns:c16="http://schemas.microsoft.com/office/drawing/2014/chart" uri="{C3380CC4-5D6E-409C-BE32-E72D297353CC}">
              <c16:uniqueId val="{00000001-7A35-4CD9-BD8C-12BADE217F56}"/>
            </c:ext>
          </c:extLst>
        </c:ser>
        <c:ser>
          <c:idx val="2"/>
          <c:order val="2"/>
          <c:spPr>
            <a:ln w="15875" cap="rnd">
              <a:solidFill>
                <a:srgbClr val="FF0000"/>
              </a:solidFill>
              <a:prstDash val="sysDash"/>
              <a:round/>
            </a:ln>
            <a:effectLst/>
          </c:spPr>
          <c:marker>
            <c:symbol val="none"/>
          </c:marker>
          <c:xVal>
            <c:strRef>
              <c:f>'   GR   '!$J$49:$L$49</c:f>
              <c:strCache>
                <c:ptCount val="3"/>
                <c:pt idx="0">
                  <c:v>UFL</c:v>
                </c:pt>
                <c:pt idx="1">
                  <c:v>PDIN</c:v>
                </c:pt>
                <c:pt idx="2">
                  <c:v>PDIE</c:v>
                </c:pt>
              </c:strCache>
            </c:strRef>
          </c:xVal>
          <c:yVal>
            <c:numRef>
              <c:f>'   GR   '!$J$53:$L$53</c:f>
              <c:numCache>
                <c:formatCode>0%</c:formatCode>
                <c:ptCount val="3"/>
                <c:pt idx="0">
                  <c:v>1</c:v>
                </c:pt>
                <c:pt idx="1">
                  <c:v>1</c:v>
                </c:pt>
                <c:pt idx="2">
                  <c:v>1</c:v>
                </c:pt>
              </c:numCache>
            </c:numRef>
          </c:yVal>
          <c:smooth val="0"/>
          <c:extLst>
            <c:ext xmlns:c16="http://schemas.microsoft.com/office/drawing/2014/chart" uri="{C3380CC4-5D6E-409C-BE32-E72D297353CC}">
              <c16:uniqueId val="{00000002-7A35-4CD9-BD8C-12BADE217F56}"/>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050" baseline="0">
                <a:latin typeface="Arial" panose="020B0604020202020204" pitchFamily="34" charset="0"/>
                <a:cs typeface="Arial" panose="020B0604020202020204" pitchFamily="34" charset="0"/>
              </a:rPr>
              <a:t>Système français</a:t>
            </a:r>
            <a:endParaRPr lang="fr-BE" sz="1050">
              <a:latin typeface="Arial" panose="020B0604020202020204" pitchFamily="34" charset="0"/>
              <a:cs typeface="Arial" panose="020B0604020202020204" pitchFamily="34" charset="0"/>
            </a:endParaRPr>
          </a:p>
        </c:rich>
      </c:tx>
      <c:overlay val="0"/>
      <c:spPr>
        <a:noFill/>
        <a:ln>
          <a:noFill/>
        </a:ln>
        <a:effectLst/>
      </c:spPr>
    </c:title>
    <c:autoTitleDeleted val="0"/>
    <c:plotArea>
      <c:layout/>
      <c:barChart>
        <c:barDir val="col"/>
        <c:grouping val="stacked"/>
        <c:varyColors val="0"/>
        <c:ser>
          <c:idx val="0"/>
          <c:order val="0"/>
          <c:spPr>
            <a:solidFill>
              <a:srgbClr val="FFDB4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VL   '!$J$53:$L$53</c:f>
              <c:strCache>
                <c:ptCount val="3"/>
                <c:pt idx="0">
                  <c:v>UFL</c:v>
                </c:pt>
                <c:pt idx="1">
                  <c:v>PDIN</c:v>
                </c:pt>
                <c:pt idx="2">
                  <c:v>PDIE</c:v>
                </c:pt>
              </c:strCache>
            </c:strRef>
          </c:cat>
          <c:val>
            <c:numRef>
              <c:f>'   VL   '!$J$54:$L$54</c:f>
              <c:numCache>
                <c:formatCode>0%</c:formatCode>
                <c:ptCount val="3"/>
                <c:pt idx="0">
                  <c:v>0</c:v>
                </c:pt>
                <c:pt idx="1">
                  <c:v>0</c:v>
                </c:pt>
                <c:pt idx="2">
                  <c:v>0</c:v>
                </c:pt>
              </c:numCache>
            </c:numRef>
          </c:val>
          <c:extLst>
            <c:ext xmlns:c16="http://schemas.microsoft.com/office/drawing/2014/chart" uri="{C3380CC4-5D6E-409C-BE32-E72D297353CC}">
              <c16:uniqueId val="{00000000-22FA-4E52-A6F8-661E6DF68E6A}"/>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dLbls>
            <c:dLbl>
              <c:idx val="0"/>
              <c:tx>
                <c:rich>
                  <a:bodyPr/>
                  <a:lstStyle/>
                  <a:p>
                    <a:fld id="{39031CEB-C508-4A6F-8A1B-B4D9B0230554}" type="CELLRANGE">
                      <a:rPr lang="en-US"/>
                      <a:pPr/>
                      <a:t>[PLAGECELL]</a:t>
                    </a:fld>
                    <a:endParaRPr lang="fr-BE"/>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22FA-4E52-A6F8-661E6DF68E6A}"/>
                </c:ext>
              </c:extLst>
            </c:dLbl>
            <c:dLbl>
              <c:idx val="1"/>
              <c:tx>
                <c:rich>
                  <a:bodyPr/>
                  <a:lstStyle/>
                  <a:p>
                    <a:fld id="{518337D8-38CE-4A8A-95CC-67F7B3AA4EAA}" type="CELLRANGE">
                      <a:rPr lang="fr-BE"/>
                      <a:pPr/>
                      <a:t>[PLAGECELL]</a:t>
                    </a:fld>
                    <a:endParaRPr lang="fr-BE"/>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22FA-4E52-A6F8-661E6DF68E6A}"/>
                </c:ext>
              </c:extLst>
            </c:dLbl>
            <c:dLbl>
              <c:idx val="2"/>
              <c:tx>
                <c:rich>
                  <a:bodyPr/>
                  <a:lstStyle/>
                  <a:p>
                    <a:fld id="{B57EB8B5-4A38-41C8-B4BF-AE8E400A5D1C}" type="CELLRANGE">
                      <a:rPr lang="fr-BE"/>
                      <a:pPr/>
                      <a:t>[PLAGECELL]</a:t>
                    </a:fld>
                    <a:endParaRPr lang="fr-BE"/>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22FA-4E52-A6F8-661E6DF68E6A}"/>
                </c:ext>
              </c:extLst>
            </c:dLbl>
            <c:numFmt formatCode="#\ \L" sourceLinked="0"/>
            <c:spPr>
              <a:solidFill>
                <a:schemeClr val="bg1"/>
              </a:solidFill>
              <a:ln w="3175">
                <a:solidFill>
                  <a:schemeClr val="tx1"/>
                </a:solidFill>
                <a:prstDash val="sysDot"/>
              </a:ln>
              <a:effectLst/>
            </c:spPr>
            <c:txPr>
              <a:bodyPr rot="0" spcFirstLastPara="1" vertOverflow="ellipsis" vert="horz" wrap="square" lIns="38100" tIns="19050" rIns="38100" bIns="19050" anchor="b"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0"/>
              </c:ext>
            </c:extLst>
          </c:dLbls>
          <c:xVal>
            <c:strRef>
              <c:f>'   VL   '!$J$53:$L$53</c:f>
              <c:strCache>
                <c:ptCount val="3"/>
                <c:pt idx="0">
                  <c:v>UFL</c:v>
                </c:pt>
                <c:pt idx="1">
                  <c:v>PDIN</c:v>
                </c:pt>
                <c:pt idx="2">
                  <c:v>PDIE</c:v>
                </c:pt>
              </c:strCache>
            </c:strRef>
          </c:xVal>
          <c:yVal>
            <c:numRef>
              <c:f>'   VL   '!$J$57:$L$57</c:f>
              <c:numCache>
                <c:formatCode>0.0</c:formatCode>
                <c:ptCount val="3"/>
                <c:pt idx="0">
                  <c:v>0.3</c:v>
                </c:pt>
                <c:pt idx="1">
                  <c:v>0.3</c:v>
                </c:pt>
                <c:pt idx="2">
                  <c:v>0.3</c:v>
                </c:pt>
              </c:numCache>
            </c:numRef>
          </c:yVal>
          <c:smooth val="0"/>
          <c:extLst>
            <c:ext xmlns:c15="http://schemas.microsoft.com/office/drawing/2012/chart" uri="{02D57815-91ED-43cb-92C2-25804820EDAC}">
              <c15:datalabelsRange>
                <c15:f>'   VL   '!$J$55:$L$55</c15:f>
                <c15:dlblRangeCache>
                  <c:ptCount val="3"/>
                  <c:pt idx="0">
                    <c:v>-12,8 L</c:v>
                  </c:pt>
                  <c:pt idx="1">
                    <c:v>-7,7 L</c:v>
                  </c:pt>
                  <c:pt idx="2">
                    <c:v>-7,7 L</c:v>
                  </c:pt>
                </c15:dlblRangeCache>
              </c15:datalabelsRange>
            </c:ext>
            <c:ext xmlns:c16="http://schemas.microsoft.com/office/drawing/2014/chart" uri="{C3380CC4-5D6E-409C-BE32-E72D297353CC}">
              <c16:uniqueId val="{00000001-22FA-4E52-A6F8-661E6DF68E6A}"/>
            </c:ext>
          </c:extLst>
        </c:ser>
        <c:ser>
          <c:idx val="2"/>
          <c:order val="2"/>
          <c:spPr>
            <a:ln w="15875" cap="rnd">
              <a:solidFill>
                <a:srgbClr val="FF0000"/>
              </a:solidFill>
              <a:prstDash val="sysDash"/>
              <a:round/>
            </a:ln>
            <a:effectLst/>
          </c:spPr>
          <c:marker>
            <c:symbol val="none"/>
          </c:marker>
          <c:xVal>
            <c:strRef>
              <c:f>'   VL   '!$J$53:$L$53</c:f>
              <c:strCache>
                <c:ptCount val="3"/>
                <c:pt idx="0">
                  <c:v>UFL</c:v>
                </c:pt>
                <c:pt idx="1">
                  <c:v>PDIN</c:v>
                </c:pt>
                <c:pt idx="2">
                  <c:v>PDIE</c:v>
                </c:pt>
              </c:strCache>
            </c:strRef>
          </c:xVal>
          <c:yVal>
            <c:numRef>
              <c:f>'   VL   '!$J$58:$L$58</c:f>
              <c:numCache>
                <c:formatCode>0%</c:formatCode>
                <c:ptCount val="3"/>
                <c:pt idx="0">
                  <c:v>1</c:v>
                </c:pt>
                <c:pt idx="1">
                  <c:v>1</c:v>
                </c:pt>
                <c:pt idx="2">
                  <c:v>1</c:v>
                </c:pt>
              </c:numCache>
            </c:numRef>
          </c:yVal>
          <c:smooth val="0"/>
          <c:extLst>
            <c:ext xmlns:c16="http://schemas.microsoft.com/office/drawing/2014/chart" uri="{C3380CC4-5D6E-409C-BE32-E72D297353CC}">
              <c16:uniqueId val="{00000002-22FA-4E52-A6F8-661E6DF68E6A}"/>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solidFill>
              <a:srgbClr val="FFDB4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GR   '!$J$49:$L$49</c:f>
              <c:strCache>
                <c:ptCount val="3"/>
                <c:pt idx="0">
                  <c:v>UFL</c:v>
                </c:pt>
                <c:pt idx="1">
                  <c:v>PDIN</c:v>
                </c:pt>
                <c:pt idx="2">
                  <c:v>PDIE</c:v>
                </c:pt>
              </c:strCache>
            </c:strRef>
          </c:cat>
          <c:val>
            <c:numRef>
              <c:f>'   GR   '!$J$50:$L$50</c:f>
              <c:numCache>
                <c:formatCode>0%</c:formatCode>
                <c:ptCount val="3"/>
                <c:pt idx="0">
                  <c:v>0</c:v>
                </c:pt>
                <c:pt idx="1">
                  <c:v>0</c:v>
                </c:pt>
                <c:pt idx="2">
                  <c:v>0</c:v>
                </c:pt>
              </c:numCache>
            </c:numRef>
          </c:val>
          <c:extLst>
            <c:ext xmlns:c16="http://schemas.microsoft.com/office/drawing/2014/chart" uri="{C3380CC4-5D6E-409C-BE32-E72D297353CC}">
              <c16:uniqueId val="{00000000-96FA-490D-9AA3-4CBA1FF40633}"/>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strRef>
              <c:f>'   GR   '!$J$49:$L$49</c:f>
              <c:strCache>
                <c:ptCount val="3"/>
                <c:pt idx="0">
                  <c:v>UFL</c:v>
                </c:pt>
                <c:pt idx="1">
                  <c:v>PDIN</c:v>
                </c:pt>
                <c:pt idx="2">
                  <c:v>PDIE</c:v>
                </c:pt>
              </c:strCache>
            </c:strRef>
          </c:xVal>
          <c:yVal>
            <c:numRef>
              <c:f>'   GR   '!$J$52:$L$52</c:f>
              <c:numCache>
                <c:formatCode>0.0</c:formatCode>
                <c:ptCount val="3"/>
                <c:pt idx="0">
                  <c:v>0.3</c:v>
                </c:pt>
                <c:pt idx="1">
                  <c:v>0.3</c:v>
                </c:pt>
                <c:pt idx="2">
                  <c:v>0.3</c:v>
                </c:pt>
              </c:numCache>
            </c:numRef>
          </c:yVal>
          <c:smooth val="0"/>
          <c:extLst>
            <c:ext xmlns:c16="http://schemas.microsoft.com/office/drawing/2014/chart" uri="{C3380CC4-5D6E-409C-BE32-E72D297353CC}">
              <c16:uniqueId val="{00000001-96FA-490D-9AA3-4CBA1FF40633}"/>
            </c:ext>
          </c:extLst>
        </c:ser>
        <c:ser>
          <c:idx val="2"/>
          <c:order val="2"/>
          <c:spPr>
            <a:ln w="15875" cap="rnd">
              <a:solidFill>
                <a:srgbClr val="FF0000"/>
              </a:solidFill>
              <a:prstDash val="sysDash"/>
              <a:round/>
            </a:ln>
            <a:effectLst/>
          </c:spPr>
          <c:marker>
            <c:symbol val="none"/>
          </c:marker>
          <c:xVal>
            <c:strRef>
              <c:f>'   GR   '!$J$49:$L$49</c:f>
              <c:strCache>
                <c:ptCount val="3"/>
                <c:pt idx="0">
                  <c:v>UFL</c:v>
                </c:pt>
                <c:pt idx="1">
                  <c:v>PDIN</c:v>
                </c:pt>
                <c:pt idx="2">
                  <c:v>PDIE</c:v>
                </c:pt>
              </c:strCache>
            </c:strRef>
          </c:xVal>
          <c:yVal>
            <c:numRef>
              <c:f>'   GR   '!$J$53:$L$53</c:f>
              <c:numCache>
                <c:formatCode>0%</c:formatCode>
                <c:ptCount val="3"/>
                <c:pt idx="0">
                  <c:v>1</c:v>
                </c:pt>
                <c:pt idx="1">
                  <c:v>1</c:v>
                </c:pt>
                <c:pt idx="2">
                  <c:v>1</c:v>
                </c:pt>
              </c:numCache>
            </c:numRef>
          </c:yVal>
          <c:smooth val="0"/>
          <c:extLst>
            <c:ext xmlns:c16="http://schemas.microsoft.com/office/drawing/2014/chart" uri="{C3380CC4-5D6E-409C-BE32-E72D297353CC}">
              <c16:uniqueId val="{00000002-96FA-490D-9AA3-4CBA1FF40633}"/>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solidFill>
              <a:srgbClr val="FFDB4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VR   '!$J$53:$L$53</c:f>
              <c:strCache>
                <c:ptCount val="3"/>
                <c:pt idx="0">
                  <c:v>UFL</c:v>
                </c:pt>
                <c:pt idx="1">
                  <c:v>PDIN</c:v>
                </c:pt>
                <c:pt idx="2">
                  <c:v>PDIE</c:v>
                </c:pt>
              </c:strCache>
            </c:strRef>
          </c:cat>
          <c:val>
            <c:numRef>
              <c:f>'   VR   '!$J$54:$L$54</c:f>
              <c:numCache>
                <c:formatCode>0%</c:formatCode>
                <c:ptCount val="3"/>
                <c:pt idx="0">
                  <c:v>0</c:v>
                </c:pt>
                <c:pt idx="1">
                  <c:v>0</c:v>
                </c:pt>
                <c:pt idx="2">
                  <c:v>0</c:v>
                </c:pt>
              </c:numCache>
            </c:numRef>
          </c:val>
          <c:extLst>
            <c:ext xmlns:c16="http://schemas.microsoft.com/office/drawing/2014/chart" uri="{C3380CC4-5D6E-409C-BE32-E72D297353CC}">
              <c16:uniqueId val="{00000000-CB10-46C0-A89C-12AE833F0CDE}"/>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strRef>
              <c:f>'   VR   '!$J$53:$L$53</c:f>
              <c:strCache>
                <c:ptCount val="3"/>
                <c:pt idx="0">
                  <c:v>UFL</c:v>
                </c:pt>
                <c:pt idx="1">
                  <c:v>PDIN</c:v>
                </c:pt>
                <c:pt idx="2">
                  <c:v>PDIE</c:v>
                </c:pt>
              </c:strCache>
            </c:strRef>
          </c:xVal>
          <c:yVal>
            <c:numRef>
              <c:f>'   VR   '!$J$56:$L$56</c:f>
              <c:numCache>
                <c:formatCode>0.0</c:formatCode>
                <c:ptCount val="3"/>
                <c:pt idx="0">
                  <c:v>0.3</c:v>
                </c:pt>
                <c:pt idx="1">
                  <c:v>0.3</c:v>
                </c:pt>
                <c:pt idx="2">
                  <c:v>0.3</c:v>
                </c:pt>
              </c:numCache>
            </c:numRef>
          </c:yVal>
          <c:smooth val="0"/>
          <c:extLst>
            <c:ext xmlns:c16="http://schemas.microsoft.com/office/drawing/2014/chart" uri="{C3380CC4-5D6E-409C-BE32-E72D297353CC}">
              <c16:uniqueId val="{00000001-CB10-46C0-A89C-12AE833F0CDE}"/>
            </c:ext>
          </c:extLst>
        </c:ser>
        <c:ser>
          <c:idx val="2"/>
          <c:order val="2"/>
          <c:spPr>
            <a:ln w="15875" cap="rnd">
              <a:solidFill>
                <a:srgbClr val="FF0000"/>
              </a:solidFill>
              <a:prstDash val="sysDash"/>
              <a:round/>
            </a:ln>
            <a:effectLst/>
          </c:spPr>
          <c:marker>
            <c:symbol val="none"/>
          </c:marker>
          <c:xVal>
            <c:strRef>
              <c:f>'   VR   '!$J$53:$L$53</c:f>
              <c:strCache>
                <c:ptCount val="3"/>
                <c:pt idx="0">
                  <c:v>UFL</c:v>
                </c:pt>
                <c:pt idx="1">
                  <c:v>PDIN</c:v>
                </c:pt>
                <c:pt idx="2">
                  <c:v>PDIE</c:v>
                </c:pt>
              </c:strCache>
            </c:strRef>
          </c:xVal>
          <c:yVal>
            <c:numRef>
              <c:f>'   VR   '!$J$57:$L$57</c:f>
              <c:numCache>
                <c:formatCode>0%</c:formatCode>
                <c:ptCount val="3"/>
                <c:pt idx="0">
                  <c:v>1</c:v>
                </c:pt>
                <c:pt idx="1">
                  <c:v>1</c:v>
                </c:pt>
                <c:pt idx="2">
                  <c:v>1</c:v>
                </c:pt>
              </c:numCache>
            </c:numRef>
          </c:yVal>
          <c:smooth val="0"/>
          <c:extLst>
            <c:ext xmlns:c16="http://schemas.microsoft.com/office/drawing/2014/chart" uri="{C3380CC4-5D6E-409C-BE32-E72D297353CC}">
              <c16:uniqueId val="{00000002-CB10-46C0-A89C-12AE833F0CDE}"/>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solidFill>
              <a:srgbClr val="FFDB43"/>
            </a:solidFill>
            <a:ln>
              <a:noFill/>
            </a:ln>
            <a:effectLst/>
          </c:spPr>
          <c:invertIfNegative val="0"/>
          <c:dLbls>
            <c:spPr>
              <a:noFill/>
              <a:ln>
                <a:noFill/>
              </a:ln>
              <a:effectLst/>
            </c:spPr>
            <c:txPr>
              <a:bodyPr rot="0" vert="horz"/>
              <a:lstStyle/>
              <a:p>
                <a:pPr>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VR   '!$J$53:$L$53</c:f>
              <c:strCache>
                <c:ptCount val="3"/>
                <c:pt idx="0">
                  <c:v>UFL</c:v>
                </c:pt>
                <c:pt idx="1">
                  <c:v>PDIN</c:v>
                </c:pt>
                <c:pt idx="2">
                  <c:v>PDIE</c:v>
                </c:pt>
              </c:strCache>
            </c:strRef>
          </c:cat>
          <c:val>
            <c:numRef>
              <c:f>'   VR   '!$J$54:$L$54</c:f>
              <c:numCache>
                <c:formatCode>0%</c:formatCode>
                <c:ptCount val="3"/>
                <c:pt idx="0">
                  <c:v>0</c:v>
                </c:pt>
                <c:pt idx="1">
                  <c:v>0</c:v>
                </c:pt>
                <c:pt idx="2">
                  <c:v>0</c:v>
                </c:pt>
              </c:numCache>
            </c:numRef>
          </c:val>
          <c:extLst>
            <c:ext xmlns:c16="http://schemas.microsoft.com/office/drawing/2014/chart" uri="{C3380CC4-5D6E-409C-BE32-E72D297353CC}">
              <c16:uniqueId val="{00000000-2996-4CBA-A313-305EFFE26904}"/>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strRef>
              <c:f>'   VR   '!$J$53:$L$53</c:f>
              <c:strCache>
                <c:ptCount val="3"/>
                <c:pt idx="0">
                  <c:v>UFL</c:v>
                </c:pt>
                <c:pt idx="1">
                  <c:v>PDIN</c:v>
                </c:pt>
                <c:pt idx="2">
                  <c:v>PDIE</c:v>
                </c:pt>
              </c:strCache>
            </c:strRef>
          </c:xVal>
          <c:yVal>
            <c:numRef>
              <c:f>'   VR   '!$J$56:$L$56</c:f>
              <c:numCache>
                <c:formatCode>0.0</c:formatCode>
                <c:ptCount val="3"/>
                <c:pt idx="0">
                  <c:v>0.3</c:v>
                </c:pt>
                <c:pt idx="1">
                  <c:v>0.3</c:v>
                </c:pt>
                <c:pt idx="2">
                  <c:v>0.3</c:v>
                </c:pt>
              </c:numCache>
            </c:numRef>
          </c:yVal>
          <c:smooth val="0"/>
          <c:extLst>
            <c:ext xmlns:c16="http://schemas.microsoft.com/office/drawing/2014/chart" uri="{C3380CC4-5D6E-409C-BE32-E72D297353CC}">
              <c16:uniqueId val="{00000001-2996-4CBA-A313-305EFFE26904}"/>
            </c:ext>
          </c:extLst>
        </c:ser>
        <c:ser>
          <c:idx val="2"/>
          <c:order val="2"/>
          <c:spPr>
            <a:ln w="15875" cap="rnd">
              <a:solidFill>
                <a:srgbClr val="FF0000"/>
              </a:solidFill>
              <a:prstDash val="sysDash"/>
              <a:round/>
            </a:ln>
            <a:effectLst/>
          </c:spPr>
          <c:marker>
            <c:symbol val="none"/>
          </c:marker>
          <c:xVal>
            <c:strRef>
              <c:f>'   VR   '!$J$53:$L$53</c:f>
              <c:strCache>
                <c:ptCount val="3"/>
                <c:pt idx="0">
                  <c:v>UFL</c:v>
                </c:pt>
                <c:pt idx="1">
                  <c:v>PDIN</c:v>
                </c:pt>
                <c:pt idx="2">
                  <c:v>PDIE</c:v>
                </c:pt>
              </c:strCache>
            </c:strRef>
          </c:xVal>
          <c:yVal>
            <c:numRef>
              <c:f>'   VR   '!$J$57:$L$57</c:f>
              <c:numCache>
                <c:formatCode>0%</c:formatCode>
                <c:ptCount val="3"/>
                <c:pt idx="0">
                  <c:v>1</c:v>
                </c:pt>
                <c:pt idx="1">
                  <c:v>1</c:v>
                </c:pt>
                <c:pt idx="2">
                  <c:v>1</c:v>
                </c:pt>
              </c:numCache>
            </c:numRef>
          </c:yVal>
          <c:smooth val="0"/>
          <c:extLst>
            <c:ext xmlns:c16="http://schemas.microsoft.com/office/drawing/2014/chart" uri="{C3380CC4-5D6E-409C-BE32-E72D297353CC}">
              <c16:uniqueId val="{00000002-2996-4CBA-A313-305EFFE26904}"/>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505273808"/>
        <c:crosses val="autoZero"/>
        <c:auto val="1"/>
        <c:lblAlgn val="ctr"/>
        <c:lblOffset val="100"/>
        <c:noMultiLvlLbl val="0"/>
      </c:catAx>
      <c:valAx>
        <c:axId val="505273808"/>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900" b="0">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solidFill>
              <a:srgbClr val="FFDB4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BA   '!$J$53:$L$53</c:f>
              <c:strCache>
                <c:ptCount val="3"/>
                <c:pt idx="0">
                  <c:v>UFL</c:v>
                </c:pt>
                <c:pt idx="1">
                  <c:v>PDIN</c:v>
                </c:pt>
                <c:pt idx="2">
                  <c:v>PDIE</c:v>
                </c:pt>
              </c:strCache>
            </c:strRef>
          </c:cat>
          <c:val>
            <c:numRef>
              <c:f>'   BA   '!$J$54:$L$54</c:f>
              <c:numCache>
                <c:formatCode>0%</c:formatCode>
                <c:ptCount val="3"/>
                <c:pt idx="0">
                  <c:v>0</c:v>
                </c:pt>
                <c:pt idx="1">
                  <c:v>0</c:v>
                </c:pt>
                <c:pt idx="2">
                  <c:v>0</c:v>
                </c:pt>
              </c:numCache>
            </c:numRef>
          </c:val>
          <c:extLst>
            <c:ext xmlns:c16="http://schemas.microsoft.com/office/drawing/2014/chart" uri="{C3380CC4-5D6E-409C-BE32-E72D297353CC}">
              <c16:uniqueId val="{00000000-810F-4DF2-9F00-F0DB31480F70}"/>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strRef>
              <c:f>'   BA   '!$J$53:$L$53</c:f>
              <c:strCache>
                <c:ptCount val="3"/>
                <c:pt idx="0">
                  <c:v>UFL</c:v>
                </c:pt>
                <c:pt idx="1">
                  <c:v>PDIN</c:v>
                </c:pt>
                <c:pt idx="2">
                  <c:v>PDIE</c:v>
                </c:pt>
              </c:strCache>
            </c:strRef>
          </c:xVal>
          <c:yVal>
            <c:numRef>
              <c:f>'   BA   '!$J$57:$L$57</c:f>
              <c:numCache>
                <c:formatCode>0.0</c:formatCode>
                <c:ptCount val="3"/>
                <c:pt idx="0">
                  <c:v>0.3</c:v>
                </c:pt>
                <c:pt idx="1">
                  <c:v>0.3</c:v>
                </c:pt>
                <c:pt idx="2">
                  <c:v>0.3</c:v>
                </c:pt>
              </c:numCache>
            </c:numRef>
          </c:yVal>
          <c:smooth val="0"/>
          <c:extLst>
            <c:ext xmlns:c16="http://schemas.microsoft.com/office/drawing/2014/chart" uri="{C3380CC4-5D6E-409C-BE32-E72D297353CC}">
              <c16:uniqueId val="{00000004-810F-4DF2-9F00-F0DB31480F70}"/>
            </c:ext>
          </c:extLst>
        </c:ser>
        <c:ser>
          <c:idx val="2"/>
          <c:order val="2"/>
          <c:spPr>
            <a:ln w="15875" cap="rnd">
              <a:solidFill>
                <a:srgbClr val="FF0000"/>
              </a:solidFill>
              <a:prstDash val="sysDash"/>
              <a:round/>
            </a:ln>
            <a:effectLst/>
          </c:spPr>
          <c:marker>
            <c:symbol val="none"/>
          </c:marker>
          <c:xVal>
            <c:strRef>
              <c:f>'   BA   '!$J$53:$L$53</c:f>
              <c:strCache>
                <c:ptCount val="3"/>
                <c:pt idx="0">
                  <c:v>UFL</c:v>
                </c:pt>
                <c:pt idx="1">
                  <c:v>PDIN</c:v>
                </c:pt>
                <c:pt idx="2">
                  <c:v>PDIE</c:v>
                </c:pt>
              </c:strCache>
            </c:strRef>
          </c:xVal>
          <c:yVal>
            <c:numRef>
              <c:f>'   BA   '!$J$58:$L$58</c:f>
              <c:numCache>
                <c:formatCode>0%</c:formatCode>
                <c:ptCount val="3"/>
                <c:pt idx="0">
                  <c:v>1</c:v>
                </c:pt>
                <c:pt idx="1">
                  <c:v>1</c:v>
                </c:pt>
                <c:pt idx="2">
                  <c:v>1</c:v>
                </c:pt>
              </c:numCache>
            </c:numRef>
          </c:yVal>
          <c:smooth val="0"/>
          <c:extLst>
            <c:ext xmlns:c16="http://schemas.microsoft.com/office/drawing/2014/chart" uri="{C3380CC4-5D6E-409C-BE32-E72D297353CC}">
              <c16:uniqueId val="{00000005-810F-4DF2-9F00-F0DB31480F70}"/>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solidFill>
              <a:srgbClr val="FFDB4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BA   '!$J$53:$L$53</c:f>
              <c:strCache>
                <c:ptCount val="3"/>
                <c:pt idx="0">
                  <c:v>UFL</c:v>
                </c:pt>
                <c:pt idx="1">
                  <c:v>PDIN</c:v>
                </c:pt>
                <c:pt idx="2">
                  <c:v>PDIE</c:v>
                </c:pt>
              </c:strCache>
            </c:strRef>
          </c:cat>
          <c:val>
            <c:numRef>
              <c:f>'   BA   '!$J$54:$L$54</c:f>
              <c:numCache>
                <c:formatCode>0%</c:formatCode>
                <c:ptCount val="3"/>
                <c:pt idx="0">
                  <c:v>0</c:v>
                </c:pt>
                <c:pt idx="1">
                  <c:v>0</c:v>
                </c:pt>
                <c:pt idx="2">
                  <c:v>0</c:v>
                </c:pt>
              </c:numCache>
            </c:numRef>
          </c:val>
          <c:extLst>
            <c:ext xmlns:c16="http://schemas.microsoft.com/office/drawing/2014/chart" uri="{C3380CC4-5D6E-409C-BE32-E72D297353CC}">
              <c16:uniqueId val="{00000000-0239-4888-8384-D35214392C06}"/>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dLbls>
            <c:dLbl>
              <c:idx val="0"/>
              <c:tx>
                <c:rich>
                  <a:bodyPr/>
                  <a:lstStyle/>
                  <a:p>
                    <a:fld id="{C28C0B92-311E-4895-B53F-9B9F0543E07B}" type="CELLRANGE">
                      <a:rPr lang="en-US"/>
                      <a:pPr/>
                      <a:t>[PLAGECELL]</a:t>
                    </a:fld>
                    <a:endParaRPr lang="fr-BE"/>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0239-4888-8384-D35214392C06}"/>
                </c:ext>
              </c:extLst>
            </c:dLbl>
            <c:dLbl>
              <c:idx val="1"/>
              <c:tx>
                <c:rich>
                  <a:bodyPr/>
                  <a:lstStyle/>
                  <a:p>
                    <a:fld id="{59267328-D8C6-4D92-B27F-C1EAD9EF460F}" type="CELLRANGE">
                      <a:rPr lang="fr-BE"/>
                      <a:pPr/>
                      <a:t>[PLAGECELL]</a:t>
                    </a:fld>
                    <a:endParaRPr lang="fr-BE"/>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0239-4888-8384-D35214392C06}"/>
                </c:ext>
              </c:extLst>
            </c:dLbl>
            <c:dLbl>
              <c:idx val="2"/>
              <c:tx>
                <c:rich>
                  <a:bodyPr/>
                  <a:lstStyle/>
                  <a:p>
                    <a:fld id="{A0428F17-C1D1-4944-A404-7CE9E42F65CF}" type="CELLRANGE">
                      <a:rPr lang="fr-BE"/>
                      <a:pPr/>
                      <a:t>[PLAGECELL]</a:t>
                    </a:fld>
                    <a:endParaRPr lang="fr-BE"/>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0239-4888-8384-D35214392C06}"/>
                </c:ext>
              </c:extLst>
            </c:dLbl>
            <c:numFmt formatCode="#\ \L" sourceLinked="0"/>
            <c:spPr>
              <a:solidFill>
                <a:schemeClr val="bg1"/>
              </a:solidFill>
              <a:ln w="3175">
                <a:solidFill>
                  <a:schemeClr val="tx1"/>
                </a:solidFill>
                <a:prstDash val="sysDot"/>
              </a:ln>
              <a:effectLst/>
            </c:spPr>
            <c:txPr>
              <a:bodyPr rot="0" spcFirstLastPara="1" vertOverflow="ellipsis" vert="horz" wrap="square" lIns="38100" tIns="19050" rIns="38100" bIns="19050" anchor="b"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t"/>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0"/>
              </c:ext>
            </c:extLst>
          </c:dLbls>
          <c:xVal>
            <c:strRef>
              <c:f>'   BA   '!$J$53:$L$53</c:f>
              <c:strCache>
                <c:ptCount val="3"/>
                <c:pt idx="0">
                  <c:v>UFL</c:v>
                </c:pt>
                <c:pt idx="1">
                  <c:v>PDIN</c:v>
                </c:pt>
                <c:pt idx="2">
                  <c:v>PDIE</c:v>
                </c:pt>
              </c:strCache>
            </c:strRef>
          </c:xVal>
          <c:yVal>
            <c:numRef>
              <c:f>'   BA   '!$J$57:$L$57</c:f>
              <c:numCache>
                <c:formatCode>0.0</c:formatCode>
                <c:ptCount val="3"/>
                <c:pt idx="0">
                  <c:v>0.3</c:v>
                </c:pt>
                <c:pt idx="1">
                  <c:v>0.3</c:v>
                </c:pt>
                <c:pt idx="2">
                  <c:v>0.3</c:v>
                </c:pt>
              </c:numCache>
            </c:numRef>
          </c:yVal>
          <c:smooth val="0"/>
          <c:extLst>
            <c:ext xmlns:c15="http://schemas.microsoft.com/office/drawing/2012/chart" uri="{02D57815-91ED-43cb-92C2-25804820EDAC}">
              <c15:datalabelsRange>
                <c15:f>'   BA   '!$J$55:$L$55</c15:f>
                <c15:dlblRangeCache>
                  <c:ptCount val="3"/>
                </c15:dlblRangeCache>
              </c15:datalabelsRange>
            </c:ext>
            <c:ext xmlns:c16="http://schemas.microsoft.com/office/drawing/2014/chart" uri="{C3380CC4-5D6E-409C-BE32-E72D297353CC}">
              <c16:uniqueId val="{00000004-0239-4888-8384-D35214392C06}"/>
            </c:ext>
          </c:extLst>
        </c:ser>
        <c:ser>
          <c:idx val="2"/>
          <c:order val="2"/>
          <c:spPr>
            <a:ln w="15875" cap="rnd">
              <a:solidFill>
                <a:srgbClr val="FF0000"/>
              </a:solidFill>
              <a:prstDash val="sysDash"/>
              <a:round/>
            </a:ln>
            <a:effectLst/>
          </c:spPr>
          <c:marker>
            <c:symbol val="none"/>
          </c:marker>
          <c:xVal>
            <c:strRef>
              <c:f>'   BA   '!$J$53:$L$53</c:f>
              <c:strCache>
                <c:ptCount val="3"/>
                <c:pt idx="0">
                  <c:v>UFL</c:v>
                </c:pt>
                <c:pt idx="1">
                  <c:v>PDIN</c:v>
                </c:pt>
                <c:pt idx="2">
                  <c:v>PDIE</c:v>
                </c:pt>
              </c:strCache>
            </c:strRef>
          </c:xVal>
          <c:yVal>
            <c:numRef>
              <c:f>'   BA   '!$J$58:$L$58</c:f>
              <c:numCache>
                <c:formatCode>0%</c:formatCode>
                <c:ptCount val="3"/>
                <c:pt idx="0">
                  <c:v>1</c:v>
                </c:pt>
                <c:pt idx="1">
                  <c:v>1</c:v>
                </c:pt>
                <c:pt idx="2">
                  <c:v>1</c:v>
                </c:pt>
              </c:numCache>
            </c:numRef>
          </c:yVal>
          <c:smooth val="0"/>
          <c:extLst>
            <c:ext xmlns:c16="http://schemas.microsoft.com/office/drawing/2014/chart" uri="{C3380CC4-5D6E-409C-BE32-E72D297353CC}">
              <c16:uniqueId val="{00000005-0239-4888-8384-D35214392C06}"/>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0"/>
        <c:axPos val="l"/>
        <c:majorGridlines>
          <c:spPr>
            <a:ln w="9525" cap="flat" cmpd="sng" algn="ctr">
              <a:no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400" b="0" i="0" u="none" strike="noStrike" kern="1200" spc="0" baseline="0">
                <a:solidFill>
                  <a:schemeClr val="tx1">
                    <a:lumMod val="65000"/>
                    <a:lumOff val="35000"/>
                  </a:schemeClr>
                </a:solidFill>
                <a:latin typeface="+mn-lt"/>
                <a:ea typeface="+mn-ea"/>
                <a:cs typeface="+mn-cs"/>
              </a:defRPr>
            </a:pPr>
            <a:r>
              <a:rPr lang="fr-BE" sz="1050" baseline="0">
                <a:latin typeface="Arial" panose="020B0604020202020204" pitchFamily="34" charset="0"/>
                <a:cs typeface="Arial" panose="020B0604020202020204" pitchFamily="34" charset="0"/>
              </a:rPr>
              <a:t>Système Hollandais</a:t>
            </a:r>
            <a:endParaRPr lang="fr-BE" sz="1050">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t" anchorCtr="0"/>
        <a:lstStyle/>
        <a:p>
          <a:pPr>
            <a:defRPr sz="1400" b="0" i="0" u="none" strike="noStrike" kern="1200" spc="0" baseline="0">
              <a:solidFill>
                <a:schemeClr val="tx1">
                  <a:lumMod val="65000"/>
                  <a:lumOff val="35000"/>
                </a:schemeClr>
              </a:solidFill>
              <a:latin typeface="+mn-lt"/>
              <a:ea typeface="+mn-ea"/>
              <a:cs typeface="+mn-cs"/>
            </a:defRPr>
          </a:pPr>
          <a:endParaRPr lang="fr-BE"/>
        </a:p>
      </c:txPr>
    </c:title>
    <c:autoTitleDeleted val="0"/>
    <c:plotArea>
      <c:layout/>
      <c:barChart>
        <c:barDir val="col"/>
        <c:grouping val="stacked"/>
        <c:varyColors val="0"/>
        <c:ser>
          <c:idx val="0"/>
          <c:order val="0"/>
          <c:tx>
            <c:strRef>
              <c:f>' AUTRE'!$H$35:$J$35</c:f>
              <c:strCache>
                <c:ptCount val="3"/>
                <c:pt idx="0">
                  <c:v>VEM</c:v>
                </c:pt>
                <c:pt idx="1">
                  <c:v>VEVI</c:v>
                </c:pt>
                <c:pt idx="2">
                  <c:v>DVE</c:v>
                </c:pt>
              </c:strCache>
            </c:strRef>
          </c:tx>
          <c:spPr>
            <a:solidFill>
              <a:schemeClr val="accent5">
                <a:lumMod val="60000"/>
                <a:lumOff val="40000"/>
              </a:schemeClr>
            </a:solidFill>
            <a:ln>
              <a:noFill/>
            </a:ln>
            <a:effectLst/>
          </c:spPr>
          <c:invertIfNegative val="0"/>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18097176370978119"/>
                      <c:h val="9.121778176774617E-2"/>
                    </c:manualLayout>
                  </c15:layout>
                </c:ext>
                <c:ext xmlns:c16="http://schemas.microsoft.com/office/drawing/2014/chart" uri="{C3380CC4-5D6E-409C-BE32-E72D297353CC}">
                  <c16:uniqueId val="{00000000-5991-46D2-8EB2-2C2B85F14D5A}"/>
                </c:ext>
              </c:extLst>
            </c:dLbl>
            <c:dLbl>
              <c:idx val="2"/>
              <c:dLblPos val="ctr"/>
              <c:showLegendKey val="0"/>
              <c:showVal val="1"/>
              <c:showCatName val="0"/>
              <c:showSerName val="0"/>
              <c:showPercent val="0"/>
              <c:showBubbleSize val="0"/>
              <c:extLst>
                <c:ext xmlns:c15="http://schemas.microsoft.com/office/drawing/2012/chart" uri="{CE6537A1-D6FC-4f65-9D91-7224C49458BB}">
                  <c15:layout>
                    <c:manualLayout>
                      <c:w val="0.18097176370978119"/>
                      <c:h val="9.121778176774617E-2"/>
                    </c:manualLayout>
                  </c15:layout>
                </c:ext>
                <c:ext xmlns:c16="http://schemas.microsoft.com/office/drawing/2014/chart" uri="{C3380CC4-5D6E-409C-BE32-E72D297353CC}">
                  <c16:uniqueId val="{00000001-5991-46D2-8EB2-2C2B85F14D5A}"/>
                </c:ext>
              </c:extLst>
            </c:dLbl>
            <c:spPr>
              <a:noFill/>
              <a:ln>
                <a:noFill/>
              </a:ln>
              <a:effectLst/>
            </c:spPr>
            <c:txPr>
              <a:bodyPr rot="0" spcFirstLastPara="1" vertOverflow="overflow" horzOverflow="overflow" vert="horz" wrap="none" lIns="0" tIns="19050" rIns="0" bIns="19050" anchor="ctr" anchorCtr="1">
                <a:no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cap="flat" cmpd="sng" algn="ctr">
                      <a:solidFill>
                        <a:schemeClr val="tx1">
                          <a:lumMod val="35000"/>
                          <a:lumOff val="65000"/>
                        </a:schemeClr>
                      </a:solidFill>
                      <a:round/>
                    </a:ln>
                    <a:effectLst/>
                  </c:spPr>
                </c15:leaderLines>
              </c:ext>
            </c:extLst>
          </c:dLbls>
          <c:cat>
            <c:strRef>
              <c:f>' AUTRE'!$H$35:$J$35</c:f>
              <c:strCache>
                <c:ptCount val="3"/>
                <c:pt idx="0">
                  <c:v>VEM</c:v>
                </c:pt>
                <c:pt idx="1">
                  <c:v>VEVI</c:v>
                </c:pt>
                <c:pt idx="2">
                  <c:v>DVE</c:v>
                </c:pt>
              </c:strCache>
            </c:strRef>
          </c:cat>
          <c:val>
            <c:numRef>
              <c:f>' AUTRE'!$H$38:$J$38</c:f>
              <c:numCache>
                <c:formatCode>0%</c:formatCode>
                <c:ptCount val="3"/>
                <c:pt idx="0">
                  <c:v>0</c:v>
                </c:pt>
                <c:pt idx="1">
                  <c:v>0</c:v>
                </c:pt>
                <c:pt idx="2">
                  <c:v>0</c:v>
                </c:pt>
              </c:numCache>
            </c:numRef>
          </c:val>
          <c:extLst>
            <c:ext xmlns:c16="http://schemas.microsoft.com/office/drawing/2014/chart" uri="{C3380CC4-5D6E-409C-BE32-E72D297353CC}">
              <c16:uniqueId val="{00000002-5991-46D2-8EB2-2C2B85F14D5A}"/>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2"/>
          <c:order val="1"/>
          <c:tx>
            <c:strRef>
              <c:f>' AUTRE'!$H$38:$J$38</c:f>
              <c:strCache>
                <c:ptCount val="3"/>
                <c:pt idx="0">
                  <c:v>#DIV/0!</c:v>
                </c:pt>
                <c:pt idx="1">
                  <c:v>#DIV/0!</c:v>
                </c:pt>
                <c:pt idx="2">
                  <c:v>#DIV/0!</c:v>
                </c:pt>
              </c:strCache>
            </c:strRef>
          </c:tx>
          <c:spPr>
            <a:ln w="15875" cap="rnd">
              <a:solidFill>
                <a:srgbClr val="FF0000"/>
              </a:solidFill>
              <a:prstDash val="sysDash"/>
              <a:round/>
            </a:ln>
            <a:effectLst/>
          </c:spPr>
          <c:marker>
            <c:symbol val="none"/>
          </c:marker>
          <c:xVal>
            <c:strRef>
              <c:f>' AUTRE'!$H$35:$J$35</c:f>
              <c:strCache>
                <c:ptCount val="3"/>
                <c:pt idx="0">
                  <c:v>VEM</c:v>
                </c:pt>
                <c:pt idx="1">
                  <c:v>VEVI</c:v>
                </c:pt>
                <c:pt idx="2">
                  <c:v>DVE</c:v>
                </c:pt>
              </c:strCache>
            </c:strRef>
          </c:xVal>
          <c:yVal>
            <c:numRef>
              <c:f>' AUTRE'!$E$72:$G$72</c:f>
              <c:numCache>
                <c:formatCode>0%</c:formatCode>
                <c:ptCount val="3"/>
                <c:pt idx="0">
                  <c:v>1</c:v>
                </c:pt>
                <c:pt idx="1">
                  <c:v>1</c:v>
                </c:pt>
                <c:pt idx="2">
                  <c:v>1</c:v>
                </c:pt>
              </c:numCache>
            </c:numRef>
          </c:yVal>
          <c:smooth val="0"/>
          <c:extLst>
            <c:ext xmlns:c16="http://schemas.microsoft.com/office/drawing/2014/chart" uri="{C3380CC4-5D6E-409C-BE32-E72D297353CC}">
              <c16:uniqueId val="{00000003-5991-46D2-8EB2-2C2B85F14D5A}"/>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050" baseline="0">
                <a:latin typeface="Arial" panose="020B0604020202020204" pitchFamily="34" charset="0"/>
                <a:cs typeface="Arial" panose="020B0604020202020204" pitchFamily="34" charset="0"/>
              </a:rPr>
              <a:t>Système Français</a:t>
            </a:r>
            <a:endParaRPr lang="fr-BE" sz="1050">
              <a:latin typeface="Arial" panose="020B0604020202020204" pitchFamily="34" charset="0"/>
              <a:cs typeface="Arial" panose="020B0604020202020204" pitchFamily="34" charset="0"/>
            </a:endParaRPr>
          </a:p>
        </c:rich>
      </c:tx>
      <c:overlay val="0"/>
      <c:spPr>
        <a:noFill/>
        <a:ln>
          <a:noFill/>
        </a:ln>
        <a:effectLst/>
      </c:spPr>
    </c:title>
    <c:autoTitleDeleted val="0"/>
    <c:plotArea>
      <c:layout/>
      <c:barChart>
        <c:barDir val="col"/>
        <c:grouping val="stacked"/>
        <c:varyColors val="0"/>
        <c:ser>
          <c:idx val="0"/>
          <c:order val="0"/>
          <c:spPr>
            <a:solidFill>
              <a:srgbClr val="FFDB43"/>
            </a:solidFill>
          </c:spPr>
          <c:invertIfNegative val="0"/>
          <c:dLbls>
            <c:spPr>
              <a:noFill/>
              <a:ln>
                <a:noFill/>
              </a:ln>
              <a:effectLst/>
            </c:spPr>
            <c:txPr>
              <a:bodyPr vertOverflow="overflow" horzOverflow="overflow" wrap="square" lIns="38100" tIns="19050" rIns="38100" bIns="19050" anchor="ctr">
                <a:spAutoFit/>
              </a:bodyPr>
              <a:lstStyle/>
              <a:p>
                <a:pPr>
                  <a:defRPr sz="900">
                    <a:latin typeface="Arial" panose="020B0604020202020204" pitchFamily="34" charset="0"/>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AUTRE'!$L$35:$O$35</c:f>
              <c:strCache>
                <c:ptCount val="4"/>
                <c:pt idx="0">
                  <c:v>UFL</c:v>
                </c:pt>
                <c:pt idx="1">
                  <c:v>UFV</c:v>
                </c:pt>
                <c:pt idx="2">
                  <c:v>PDIN</c:v>
                </c:pt>
                <c:pt idx="3">
                  <c:v>PDIE</c:v>
                </c:pt>
              </c:strCache>
            </c:strRef>
          </c:cat>
          <c:val>
            <c:numRef>
              <c:f>' AUTRE'!$L$38:$O$38</c:f>
              <c:numCache>
                <c:formatCode>0%</c:formatCode>
                <c:ptCount val="4"/>
                <c:pt idx="0">
                  <c:v>0</c:v>
                </c:pt>
                <c:pt idx="1">
                  <c:v>0</c:v>
                </c:pt>
                <c:pt idx="2">
                  <c:v>0</c:v>
                </c:pt>
                <c:pt idx="3">
                  <c:v>0</c:v>
                </c:pt>
              </c:numCache>
            </c:numRef>
          </c:val>
          <c:extLst>
            <c:ext xmlns:c16="http://schemas.microsoft.com/office/drawing/2014/chart" uri="{C3380CC4-5D6E-409C-BE32-E72D297353CC}">
              <c16:uniqueId val="{00000000-8FB7-4B4C-BA05-22C3EAC14DE3}"/>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numRef>
              <c:f>' AUTRE'!$K$68:$N$68</c:f>
              <c:numCache>
                <c:formatCode>General</c:formatCode>
                <c:ptCount val="4"/>
              </c:numCache>
            </c:numRef>
          </c:xVal>
          <c:yVal>
            <c:numRef>
              <c:f>' AUTRE'!$K$71:$N$71</c:f>
              <c:numCache>
                <c:formatCode>0.0</c:formatCode>
                <c:ptCount val="4"/>
              </c:numCache>
            </c:numRef>
          </c:yVal>
          <c:smooth val="0"/>
          <c:extLst>
            <c:ext xmlns:c16="http://schemas.microsoft.com/office/drawing/2014/chart" uri="{C3380CC4-5D6E-409C-BE32-E72D297353CC}">
              <c16:uniqueId val="{00000001-8FB7-4B4C-BA05-22C3EAC14DE3}"/>
            </c:ext>
          </c:extLst>
        </c:ser>
        <c:ser>
          <c:idx val="2"/>
          <c:order val="2"/>
          <c:spPr>
            <a:ln w="15875" cap="rnd">
              <a:solidFill>
                <a:srgbClr val="FF0000"/>
              </a:solidFill>
              <a:prstDash val="sysDash"/>
              <a:round/>
            </a:ln>
            <a:effectLst/>
          </c:spPr>
          <c:marker>
            <c:symbol val="none"/>
          </c:marker>
          <c:xVal>
            <c:strRef>
              <c:f>' AUTRE'!$L$35:$O$35</c:f>
              <c:strCache>
                <c:ptCount val="4"/>
                <c:pt idx="0">
                  <c:v>UFL</c:v>
                </c:pt>
                <c:pt idx="1">
                  <c:v>UFV</c:v>
                </c:pt>
                <c:pt idx="2">
                  <c:v>PDIN</c:v>
                </c:pt>
                <c:pt idx="3">
                  <c:v>PDIE</c:v>
                </c:pt>
              </c:strCache>
            </c:strRef>
          </c:xVal>
          <c:yVal>
            <c:numRef>
              <c:f>' AUTRE'!$L$72:$O$72</c:f>
              <c:numCache>
                <c:formatCode>0%</c:formatCode>
                <c:ptCount val="4"/>
                <c:pt idx="0">
                  <c:v>1</c:v>
                </c:pt>
                <c:pt idx="1">
                  <c:v>1</c:v>
                </c:pt>
                <c:pt idx="2">
                  <c:v>1</c:v>
                </c:pt>
                <c:pt idx="3">
                  <c:v>1</c:v>
                </c:pt>
              </c:numCache>
            </c:numRef>
          </c:yVal>
          <c:smooth val="0"/>
          <c:extLst>
            <c:ext xmlns:c16="http://schemas.microsoft.com/office/drawing/2014/chart" uri="{C3380CC4-5D6E-409C-BE32-E72D297353CC}">
              <c16:uniqueId val="{00000002-8FB7-4B4C-BA05-22C3EAC14DE3}"/>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0" i="0" u="none" strike="noStrike" kern="1200" spc="0" baseline="0">
                <a:solidFill>
                  <a:schemeClr val="tx1">
                    <a:lumMod val="65000"/>
                    <a:lumOff val="35000"/>
                  </a:schemeClr>
                </a:solidFill>
                <a:latin typeface="+mn-lt"/>
                <a:ea typeface="+mn-ea"/>
                <a:cs typeface="+mn-cs"/>
              </a:defRPr>
            </a:pPr>
            <a:r>
              <a:rPr lang="fr-BE" sz="800" baseline="0">
                <a:latin typeface="Arial" panose="020B0604020202020204" pitchFamily="34" charset="0"/>
                <a:cs typeface="Arial" panose="020B0604020202020204" pitchFamily="34" charset="0"/>
              </a:rPr>
              <a:t>Système français</a:t>
            </a:r>
            <a:endParaRPr lang="fr-BE" sz="800">
              <a:latin typeface="Arial" panose="020B0604020202020204" pitchFamily="34" charset="0"/>
              <a:cs typeface="Arial" panose="020B0604020202020204" pitchFamily="34" charset="0"/>
            </a:endParaRPr>
          </a:p>
        </c:rich>
      </c:tx>
      <c:overlay val="0"/>
      <c:spPr>
        <a:noFill/>
        <a:ln>
          <a:noFill/>
        </a:ln>
        <a:effectLst/>
      </c:spPr>
    </c:title>
    <c:autoTitleDeleted val="0"/>
    <c:plotArea>
      <c:layout/>
      <c:barChart>
        <c:barDir val="col"/>
        <c:grouping val="stacked"/>
        <c:varyColors val="0"/>
        <c:ser>
          <c:idx val="0"/>
          <c:order val="0"/>
          <c:spPr>
            <a:solidFill>
              <a:srgbClr val="FFDB4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VL   '!$J$53:$L$53</c:f>
              <c:strCache>
                <c:ptCount val="3"/>
                <c:pt idx="0">
                  <c:v>UFL</c:v>
                </c:pt>
                <c:pt idx="1">
                  <c:v>PDIN</c:v>
                </c:pt>
                <c:pt idx="2">
                  <c:v>PDIE</c:v>
                </c:pt>
              </c:strCache>
            </c:strRef>
          </c:cat>
          <c:val>
            <c:numRef>
              <c:f>'   VL   '!$J$54:$L$54</c:f>
              <c:numCache>
                <c:formatCode>0%</c:formatCode>
                <c:ptCount val="3"/>
                <c:pt idx="0">
                  <c:v>0</c:v>
                </c:pt>
                <c:pt idx="1">
                  <c:v>0</c:v>
                </c:pt>
                <c:pt idx="2">
                  <c:v>0</c:v>
                </c:pt>
              </c:numCache>
            </c:numRef>
          </c:val>
          <c:extLst>
            <c:ext xmlns:c16="http://schemas.microsoft.com/office/drawing/2014/chart" uri="{C3380CC4-5D6E-409C-BE32-E72D297353CC}">
              <c16:uniqueId val="{00000000-416D-4679-A031-ABF8844638E5}"/>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dLbls>
            <c:dLbl>
              <c:idx val="0"/>
              <c:tx>
                <c:rich>
                  <a:bodyPr/>
                  <a:lstStyle/>
                  <a:p>
                    <a:fld id="{76334E81-17FA-4E49-AB7E-0543A1213428}" type="CELLRANGE">
                      <a:rPr lang="en-US"/>
                      <a:pPr/>
                      <a:t>[PLAGECELL]</a:t>
                    </a:fld>
                    <a:endParaRPr lang="fr-BE"/>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416D-4679-A031-ABF8844638E5}"/>
                </c:ext>
              </c:extLst>
            </c:dLbl>
            <c:dLbl>
              <c:idx val="1"/>
              <c:tx>
                <c:rich>
                  <a:bodyPr/>
                  <a:lstStyle/>
                  <a:p>
                    <a:fld id="{D998FFE4-F529-4010-9B3F-21E43A797A5E}" type="CELLRANGE">
                      <a:rPr lang="fr-BE"/>
                      <a:pPr/>
                      <a:t>[PLAGECELL]</a:t>
                    </a:fld>
                    <a:endParaRPr lang="fr-BE"/>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416D-4679-A031-ABF8844638E5}"/>
                </c:ext>
              </c:extLst>
            </c:dLbl>
            <c:dLbl>
              <c:idx val="2"/>
              <c:tx>
                <c:rich>
                  <a:bodyPr/>
                  <a:lstStyle/>
                  <a:p>
                    <a:fld id="{29507F10-EF75-4B61-A9F7-1805DEDEAC1D}" type="CELLRANGE">
                      <a:rPr lang="fr-BE"/>
                      <a:pPr/>
                      <a:t>[PLAGECELL]</a:t>
                    </a:fld>
                    <a:endParaRPr lang="fr-BE"/>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416D-4679-A031-ABF8844638E5}"/>
                </c:ext>
              </c:extLst>
            </c:dLbl>
            <c:numFmt formatCode="#\ \L" sourceLinked="0"/>
            <c:spPr>
              <a:solidFill>
                <a:schemeClr val="bg1"/>
              </a:solidFill>
              <a:ln w="3175">
                <a:solidFill>
                  <a:schemeClr val="tx1"/>
                </a:solidFill>
                <a:prstDash val="sysDot"/>
              </a:ln>
              <a:effectLst/>
            </c:spPr>
            <c:txPr>
              <a:bodyPr rot="0" spcFirstLastPara="1" vertOverflow="ellipsis" vert="horz" wrap="square" lIns="38100" tIns="19050" rIns="38100" bIns="19050" anchor="b"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t"/>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0"/>
              </c:ext>
            </c:extLst>
          </c:dLbls>
          <c:xVal>
            <c:strRef>
              <c:f>'   VL   '!$J$53:$L$53</c:f>
              <c:strCache>
                <c:ptCount val="3"/>
                <c:pt idx="0">
                  <c:v>UFL</c:v>
                </c:pt>
                <c:pt idx="1">
                  <c:v>PDIN</c:v>
                </c:pt>
                <c:pt idx="2">
                  <c:v>PDIE</c:v>
                </c:pt>
              </c:strCache>
            </c:strRef>
          </c:xVal>
          <c:yVal>
            <c:numRef>
              <c:f>'   VL   '!$J$57:$L$57</c:f>
              <c:numCache>
                <c:formatCode>0.0</c:formatCode>
                <c:ptCount val="3"/>
                <c:pt idx="0">
                  <c:v>0.3</c:v>
                </c:pt>
                <c:pt idx="1">
                  <c:v>0.3</c:v>
                </c:pt>
                <c:pt idx="2">
                  <c:v>0.3</c:v>
                </c:pt>
              </c:numCache>
            </c:numRef>
          </c:yVal>
          <c:smooth val="0"/>
          <c:extLst>
            <c:ext xmlns:c15="http://schemas.microsoft.com/office/drawing/2012/chart" uri="{02D57815-91ED-43cb-92C2-25804820EDAC}">
              <c15:datalabelsRange>
                <c15:f>'   VL   '!$J$55:$L$55</c15:f>
                <c15:dlblRangeCache>
                  <c:ptCount val="3"/>
                  <c:pt idx="0">
                    <c:v>-12,8 L</c:v>
                  </c:pt>
                  <c:pt idx="1">
                    <c:v>-7,7 L</c:v>
                  </c:pt>
                  <c:pt idx="2">
                    <c:v>-7,7 L</c:v>
                  </c:pt>
                </c15:dlblRangeCache>
              </c15:datalabelsRange>
            </c:ext>
            <c:ext xmlns:c16="http://schemas.microsoft.com/office/drawing/2014/chart" uri="{C3380CC4-5D6E-409C-BE32-E72D297353CC}">
              <c16:uniqueId val="{00000004-416D-4679-A031-ABF8844638E5}"/>
            </c:ext>
          </c:extLst>
        </c:ser>
        <c:ser>
          <c:idx val="2"/>
          <c:order val="2"/>
          <c:spPr>
            <a:ln w="15875" cap="rnd">
              <a:solidFill>
                <a:srgbClr val="FF0000"/>
              </a:solidFill>
              <a:prstDash val="sysDash"/>
              <a:round/>
            </a:ln>
            <a:effectLst/>
          </c:spPr>
          <c:marker>
            <c:symbol val="none"/>
          </c:marker>
          <c:xVal>
            <c:strRef>
              <c:f>'   VL   '!$J$53:$L$53</c:f>
              <c:strCache>
                <c:ptCount val="3"/>
                <c:pt idx="0">
                  <c:v>UFL</c:v>
                </c:pt>
                <c:pt idx="1">
                  <c:v>PDIN</c:v>
                </c:pt>
                <c:pt idx="2">
                  <c:v>PDIE</c:v>
                </c:pt>
              </c:strCache>
            </c:strRef>
          </c:xVal>
          <c:yVal>
            <c:numRef>
              <c:f>'   VL   '!$J$58:$L$58</c:f>
              <c:numCache>
                <c:formatCode>0%</c:formatCode>
                <c:ptCount val="3"/>
                <c:pt idx="0">
                  <c:v>1</c:v>
                </c:pt>
                <c:pt idx="1">
                  <c:v>1</c:v>
                </c:pt>
                <c:pt idx="2">
                  <c:v>1</c:v>
                </c:pt>
              </c:numCache>
            </c:numRef>
          </c:yVal>
          <c:smooth val="0"/>
          <c:extLst>
            <c:ext xmlns:c16="http://schemas.microsoft.com/office/drawing/2014/chart" uri="{C3380CC4-5D6E-409C-BE32-E72D297353CC}">
              <c16:uniqueId val="{00000005-416D-4679-A031-ABF8844638E5}"/>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0"/>
        <c:axPos val="l"/>
        <c:majorGridlines>
          <c:spPr>
            <a:ln w="9525" cap="flat" cmpd="sng" algn="ctr">
              <a:no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0" i="0" u="none" strike="noStrike" kern="1200" spc="0" baseline="0">
                <a:solidFill>
                  <a:schemeClr val="tx1">
                    <a:lumMod val="65000"/>
                    <a:lumOff val="35000"/>
                  </a:schemeClr>
                </a:solidFill>
                <a:latin typeface="+mn-lt"/>
                <a:ea typeface="+mn-ea"/>
                <a:cs typeface="+mn-cs"/>
              </a:defRPr>
            </a:pPr>
            <a:r>
              <a:rPr lang="fr-BE" sz="800" baseline="0">
                <a:latin typeface="Arial" panose="020B0604020202020204" pitchFamily="34" charset="0"/>
                <a:cs typeface="Arial" panose="020B0604020202020204" pitchFamily="34" charset="0"/>
              </a:rPr>
              <a:t>Système hollandais</a:t>
            </a:r>
            <a:endParaRPr lang="fr-BE" sz="800">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800" b="0" i="0" u="none" strike="noStrike" kern="1200" spc="0" baseline="0">
              <a:solidFill>
                <a:schemeClr val="tx1">
                  <a:lumMod val="65000"/>
                  <a:lumOff val="35000"/>
                </a:schemeClr>
              </a:solidFill>
              <a:latin typeface="+mn-lt"/>
              <a:ea typeface="+mn-ea"/>
              <a:cs typeface="+mn-cs"/>
            </a:defRPr>
          </a:pPr>
          <a:endParaRPr lang="fr-BE"/>
        </a:p>
      </c:txPr>
    </c:title>
    <c:autoTitleDeleted val="0"/>
    <c:plotArea>
      <c:layout/>
      <c:barChart>
        <c:barDir val="col"/>
        <c:grouping val="stacked"/>
        <c:varyColors val="0"/>
        <c:ser>
          <c:idx val="0"/>
          <c:order val="0"/>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VL   '!$E$53:$G$53</c:f>
              <c:strCache>
                <c:ptCount val="3"/>
                <c:pt idx="0">
                  <c:v>VEM</c:v>
                </c:pt>
                <c:pt idx="1">
                  <c:v>DVE</c:v>
                </c:pt>
                <c:pt idx="2">
                  <c:v>OEB</c:v>
                </c:pt>
              </c:strCache>
            </c:strRef>
          </c:cat>
          <c:val>
            <c:numRef>
              <c:f>'   VL   '!$E$54:$G$54</c:f>
              <c:numCache>
                <c:formatCode>0%</c:formatCode>
                <c:ptCount val="3"/>
                <c:pt idx="0">
                  <c:v>0</c:v>
                </c:pt>
                <c:pt idx="1">
                  <c:v>0</c:v>
                </c:pt>
                <c:pt idx="2">
                  <c:v>0</c:v>
                </c:pt>
              </c:numCache>
            </c:numRef>
          </c:val>
          <c:extLst>
            <c:ext xmlns:c16="http://schemas.microsoft.com/office/drawing/2014/chart" uri="{C3380CC4-5D6E-409C-BE32-E72D297353CC}">
              <c16:uniqueId val="{00000000-87D7-44B9-A9AD-4A70962C41DB}"/>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dLbls>
            <c:dLbl>
              <c:idx val="0"/>
              <c:tx>
                <c:rich>
                  <a:bodyPr/>
                  <a:lstStyle/>
                  <a:p>
                    <a:fld id="{80CAAE30-1E15-410F-B707-54DA5D59C669}" type="CELLRANGE">
                      <a:rPr lang="en-US"/>
                      <a:pPr/>
                      <a:t>[PLAGECELL]</a:t>
                    </a:fld>
                    <a:endParaRPr lang="fr-BE"/>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87D7-44B9-A9AD-4A70962C41DB}"/>
                </c:ext>
              </c:extLst>
            </c:dLbl>
            <c:dLbl>
              <c:idx val="1"/>
              <c:tx>
                <c:rich>
                  <a:bodyPr/>
                  <a:lstStyle/>
                  <a:p>
                    <a:fld id="{03E018AA-1183-429A-8EF1-8305280D7912}" type="CELLRANGE">
                      <a:rPr lang="fr-BE"/>
                      <a:pPr/>
                      <a:t>[PLAGECELL]</a:t>
                    </a:fld>
                    <a:endParaRPr lang="fr-BE"/>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87D7-44B9-A9AD-4A70962C41DB}"/>
                </c:ext>
              </c:extLst>
            </c:dLbl>
            <c:spPr>
              <a:solidFill>
                <a:schemeClr val="bg1"/>
              </a:solidFill>
              <a:ln w="3175">
                <a:solidFill>
                  <a:schemeClr val="tx1"/>
                </a:solidFill>
                <a:prstDash val="sysDot"/>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strRef>
              <c:f>'   VL   '!$E$53:$F$53</c:f>
              <c:strCache>
                <c:ptCount val="2"/>
                <c:pt idx="0">
                  <c:v>VEM</c:v>
                </c:pt>
                <c:pt idx="1">
                  <c:v>DVE</c:v>
                </c:pt>
              </c:strCache>
            </c:strRef>
          </c:xVal>
          <c:yVal>
            <c:numRef>
              <c:f>'   VL   '!$E$57:$F$57</c:f>
              <c:numCache>
                <c:formatCode>0.0</c:formatCode>
                <c:ptCount val="2"/>
                <c:pt idx="0">
                  <c:v>0.3</c:v>
                </c:pt>
                <c:pt idx="1">
                  <c:v>0.3</c:v>
                </c:pt>
              </c:numCache>
            </c:numRef>
          </c:yVal>
          <c:smooth val="0"/>
          <c:extLst>
            <c:ext xmlns:c15="http://schemas.microsoft.com/office/drawing/2012/chart" uri="{02D57815-91ED-43cb-92C2-25804820EDAC}">
              <c15:datalabelsRange>
                <c15:f>'   VL   '!$E$55:$G$55</c15:f>
                <c15:dlblRangeCache>
                  <c:ptCount val="3"/>
                  <c:pt idx="0">
                    <c:v>#VALEUR!</c:v>
                  </c:pt>
                  <c:pt idx="1">
                    <c:v>-2,2 L</c:v>
                  </c:pt>
                </c15:dlblRangeCache>
              </c15:datalabelsRange>
            </c:ext>
            <c:ext xmlns:c16="http://schemas.microsoft.com/office/drawing/2014/chart" uri="{C3380CC4-5D6E-409C-BE32-E72D297353CC}">
              <c16:uniqueId val="{00000004-87D7-44B9-A9AD-4A70962C41DB}"/>
            </c:ext>
          </c:extLst>
        </c:ser>
        <c:ser>
          <c:idx val="2"/>
          <c:order val="2"/>
          <c:spPr>
            <a:ln w="15875" cap="rnd">
              <a:solidFill>
                <a:srgbClr val="FF0000"/>
              </a:solidFill>
              <a:prstDash val="sysDash"/>
              <a:round/>
            </a:ln>
            <a:effectLst/>
          </c:spPr>
          <c:marker>
            <c:symbol val="none"/>
          </c:marker>
          <c:xVal>
            <c:strRef>
              <c:f>'   VL   '!$J$53:$L$53</c:f>
              <c:strCache>
                <c:ptCount val="3"/>
                <c:pt idx="0">
                  <c:v>UFL</c:v>
                </c:pt>
                <c:pt idx="1">
                  <c:v>PDIN</c:v>
                </c:pt>
                <c:pt idx="2">
                  <c:v>PDIE</c:v>
                </c:pt>
              </c:strCache>
            </c:strRef>
          </c:xVal>
          <c:yVal>
            <c:numRef>
              <c:f>'   VL   '!$E$58:$G$58</c:f>
              <c:numCache>
                <c:formatCode>0%</c:formatCode>
                <c:ptCount val="3"/>
                <c:pt idx="0">
                  <c:v>1</c:v>
                </c:pt>
                <c:pt idx="1">
                  <c:v>1</c:v>
                </c:pt>
                <c:pt idx="2">
                  <c:v>1</c:v>
                </c:pt>
              </c:numCache>
            </c:numRef>
          </c:yVal>
          <c:smooth val="0"/>
          <c:extLst>
            <c:ext xmlns:c16="http://schemas.microsoft.com/office/drawing/2014/chart" uri="{C3380CC4-5D6E-409C-BE32-E72D297353CC}">
              <c16:uniqueId val="{00000005-87D7-44B9-A9AD-4A70962C41DB}"/>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0"/>
        <c:axPos val="l"/>
        <c:majorGridlines>
          <c:spPr>
            <a:ln w="9525" cap="flat" cmpd="sng" algn="ctr">
              <a:no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050" baseline="0">
                <a:latin typeface="Arial" panose="020B0604020202020204" pitchFamily="34" charset="0"/>
                <a:cs typeface="Arial" panose="020B0604020202020204" pitchFamily="34" charset="0"/>
              </a:rPr>
              <a:t>Système français</a:t>
            </a:r>
            <a:endParaRPr lang="fr-BE" sz="1050">
              <a:latin typeface="Arial" panose="020B0604020202020204" pitchFamily="34" charset="0"/>
              <a:cs typeface="Arial" panose="020B0604020202020204" pitchFamily="34" charset="0"/>
            </a:endParaRPr>
          </a:p>
        </c:rich>
      </c:tx>
      <c:overlay val="0"/>
      <c:spPr>
        <a:noFill/>
        <a:ln>
          <a:noFill/>
        </a:ln>
        <a:effectLst/>
      </c:spPr>
    </c:title>
    <c:autoTitleDeleted val="0"/>
    <c:plotArea>
      <c:layout/>
      <c:barChart>
        <c:barDir val="col"/>
        <c:grouping val="stacked"/>
        <c:varyColors val="0"/>
        <c:ser>
          <c:idx val="0"/>
          <c:order val="0"/>
          <c:spPr>
            <a:solidFill>
              <a:srgbClr val="FFDB4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VT   '!$J$69:$L$69</c:f>
              <c:strCache>
                <c:ptCount val="3"/>
                <c:pt idx="0">
                  <c:v>UFL</c:v>
                </c:pt>
                <c:pt idx="1">
                  <c:v>PDIN</c:v>
                </c:pt>
                <c:pt idx="2">
                  <c:v>PDIE</c:v>
                </c:pt>
              </c:strCache>
            </c:strRef>
          </c:cat>
          <c:val>
            <c:numRef>
              <c:f>'   VT   '!$J$70:$L$70</c:f>
              <c:numCache>
                <c:formatCode>0%</c:formatCode>
                <c:ptCount val="3"/>
                <c:pt idx="0">
                  <c:v>0</c:v>
                </c:pt>
                <c:pt idx="1">
                  <c:v>0</c:v>
                </c:pt>
                <c:pt idx="2">
                  <c:v>0</c:v>
                </c:pt>
              </c:numCache>
            </c:numRef>
          </c:val>
          <c:extLst>
            <c:ext xmlns:c16="http://schemas.microsoft.com/office/drawing/2014/chart" uri="{C3380CC4-5D6E-409C-BE32-E72D297353CC}">
              <c16:uniqueId val="{00000000-A5E4-40CA-B2D1-BF061A029560}"/>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strRef>
              <c:f>'   VT   '!$J$69:$L$69</c:f>
              <c:strCache>
                <c:ptCount val="3"/>
                <c:pt idx="0">
                  <c:v>UFL</c:v>
                </c:pt>
                <c:pt idx="1">
                  <c:v>PDIN</c:v>
                </c:pt>
                <c:pt idx="2">
                  <c:v>PDIE</c:v>
                </c:pt>
              </c:strCache>
            </c:strRef>
          </c:xVal>
          <c:yVal>
            <c:numRef>
              <c:f>'   VT   '!$J$72:$L$72</c:f>
              <c:numCache>
                <c:formatCode>0.0</c:formatCode>
                <c:ptCount val="3"/>
                <c:pt idx="0">
                  <c:v>0.3</c:v>
                </c:pt>
                <c:pt idx="1">
                  <c:v>0.3</c:v>
                </c:pt>
                <c:pt idx="2">
                  <c:v>0.3</c:v>
                </c:pt>
              </c:numCache>
            </c:numRef>
          </c:yVal>
          <c:smooth val="0"/>
          <c:extLst>
            <c:ext xmlns:c16="http://schemas.microsoft.com/office/drawing/2014/chart" uri="{C3380CC4-5D6E-409C-BE32-E72D297353CC}">
              <c16:uniqueId val="{00000004-A5E4-40CA-B2D1-BF061A029560}"/>
            </c:ext>
          </c:extLst>
        </c:ser>
        <c:ser>
          <c:idx val="2"/>
          <c:order val="2"/>
          <c:spPr>
            <a:ln w="15875" cap="rnd">
              <a:solidFill>
                <a:srgbClr val="FF0000"/>
              </a:solidFill>
              <a:prstDash val="sysDash"/>
              <a:round/>
            </a:ln>
            <a:effectLst/>
          </c:spPr>
          <c:marker>
            <c:symbol val="none"/>
          </c:marker>
          <c:xVal>
            <c:strRef>
              <c:f>'   VT   '!$J$69:$L$69</c:f>
              <c:strCache>
                <c:ptCount val="3"/>
                <c:pt idx="0">
                  <c:v>UFL</c:v>
                </c:pt>
                <c:pt idx="1">
                  <c:v>PDIN</c:v>
                </c:pt>
                <c:pt idx="2">
                  <c:v>PDIE</c:v>
                </c:pt>
              </c:strCache>
            </c:strRef>
          </c:xVal>
          <c:yVal>
            <c:numRef>
              <c:f>'   VT   '!$J$73:$L$73</c:f>
              <c:numCache>
                <c:formatCode>0%</c:formatCode>
                <c:ptCount val="3"/>
                <c:pt idx="0">
                  <c:v>1</c:v>
                </c:pt>
                <c:pt idx="1">
                  <c:v>1</c:v>
                </c:pt>
                <c:pt idx="2">
                  <c:v>1</c:v>
                </c:pt>
              </c:numCache>
            </c:numRef>
          </c:yVal>
          <c:smooth val="0"/>
          <c:extLst>
            <c:ext xmlns:c16="http://schemas.microsoft.com/office/drawing/2014/chart" uri="{C3380CC4-5D6E-409C-BE32-E72D297353CC}">
              <c16:uniqueId val="{00000005-A5E4-40CA-B2D1-BF061A029560}"/>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050" baseline="0">
                <a:latin typeface="Arial" panose="020B0604020202020204" pitchFamily="34" charset="0"/>
                <a:cs typeface="Arial" panose="020B0604020202020204" pitchFamily="34" charset="0"/>
              </a:rPr>
              <a:t>Système hollandais</a:t>
            </a:r>
            <a:endParaRPr lang="fr-BE" sz="1050">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BE"/>
        </a:p>
      </c:txPr>
    </c:title>
    <c:autoTitleDeleted val="0"/>
    <c:plotArea>
      <c:layout/>
      <c:barChart>
        <c:barDir val="col"/>
        <c:grouping val="stacked"/>
        <c:varyColors val="0"/>
        <c:ser>
          <c:idx val="0"/>
          <c:order val="0"/>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VT   '!$E$69:$F$69</c:f>
              <c:strCache>
                <c:ptCount val="2"/>
                <c:pt idx="0">
                  <c:v>VEM</c:v>
                </c:pt>
                <c:pt idx="1">
                  <c:v>DVE</c:v>
                </c:pt>
              </c:strCache>
            </c:strRef>
          </c:cat>
          <c:val>
            <c:numRef>
              <c:f>'   VT   '!$E$70:$F$70</c:f>
              <c:numCache>
                <c:formatCode>0%</c:formatCode>
                <c:ptCount val="2"/>
                <c:pt idx="0">
                  <c:v>0</c:v>
                </c:pt>
                <c:pt idx="1">
                  <c:v>0</c:v>
                </c:pt>
              </c:numCache>
            </c:numRef>
          </c:val>
          <c:extLst>
            <c:ext xmlns:c16="http://schemas.microsoft.com/office/drawing/2014/chart" uri="{C3380CC4-5D6E-409C-BE32-E72D297353CC}">
              <c16:uniqueId val="{00000000-088D-416F-B612-25AE91A1B796}"/>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strRef>
              <c:f>'   VT   '!$E$69:$F$69</c:f>
              <c:strCache>
                <c:ptCount val="2"/>
                <c:pt idx="0">
                  <c:v>VEM</c:v>
                </c:pt>
                <c:pt idx="1">
                  <c:v>DVE</c:v>
                </c:pt>
              </c:strCache>
            </c:strRef>
          </c:xVal>
          <c:yVal>
            <c:numRef>
              <c:f>'   VT   '!$E$72:$F$72</c:f>
              <c:numCache>
                <c:formatCode>0.0</c:formatCode>
                <c:ptCount val="2"/>
                <c:pt idx="0">
                  <c:v>0.3</c:v>
                </c:pt>
                <c:pt idx="1">
                  <c:v>0.3</c:v>
                </c:pt>
              </c:numCache>
            </c:numRef>
          </c:yVal>
          <c:smooth val="0"/>
          <c:extLst>
            <c:ext xmlns:c16="http://schemas.microsoft.com/office/drawing/2014/chart" uri="{C3380CC4-5D6E-409C-BE32-E72D297353CC}">
              <c16:uniqueId val="{00000003-088D-416F-B612-25AE91A1B796}"/>
            </c:ext>
          </c:extLst>
        </c:ser>
        <c:ser>
          <c:idx val="2"/>
          <c:order val="2"/>
          <c:spPr>
            <a:ln w="15875" cap="rnd">
              <a:solidFill>
                <a:srgbClr val="FF0000"/>
              </a:solidFill>
              <a:prstDash val="sysDash"/>
              <a:round/>
            </a:ln>
            <a:effectLst/>
          </c:spPr>
          <c:marker>
            <c:symbol val="none"/>
          </c:marker>
          <c:xVal>
            <c:strRef>
              <c:f>'   VT   '!$E$69:$F$69</c:f>
              <c:strCache>
                <c:ptCount val="2"/>
                <c:pt idx="0">
                  <c:v>VEM</c:v>
                </c:pt>
                <c:pt idx="1">
                  <c:v>DVE</c:v>
                </c:pt>
              </c:strCache>
            </c:strRef>
          </c:xVal>
          <c:yVal>
            <c:numRef>
              <c:f>'   VT   '!$J$73:$L$73</c:f>
              <c:numCache>
                <c:formatCode>0%</c:formatCode>
                <c:ptCount val="3"/>
                <c:pt idx="0">
                  <c:v>1</c:v>
                </c:pt>
                <c:pt idx="1">
                  <c:v>1</c:v>
                </c:pt>
                <c:pt idx="2">
                  <c:v>1</c:v>
                </c:pt>
              </c:numCache>
            </c:numRef>
          </c:yVal>
          <c:smooth val="0"/>
          <c:extLst>
            <c:ext xmlns:c16="http://schemas.microsoft.com/office/drawing/2014/chart" uri="{C3380CC4-5D6E-409C-BE32-E72D297353CC}">
              <c16:uniqueId val="{00000004-088D-416F-B612-25AE91A1B796}"/>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BE"/>
              <a:t>Système hollandais</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barChart>
        <c:barDir val="col"/>
        <c:grouping val="stacked"/>
        <c:varyColors val="0"/>
        <c:ser>
          <c:idx val="0"/>
          <c:order val="0"/>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VT   '!$E$69:$F$69</c:f>
              <c:strCache>
                <c:ptCount val="2"/>
                <c:pt idx="0">
                  <c:v>VEM</c:v>
                </c:pt>
                <c:pt idx="1">
                  <c:v>DVE</c:v>
                </c:pt>
              </c:strCache>
            </c:strRef>
          </c:cat>
          <c:val>
            <c:numRef>
              <c:f>'   VT   '!$E$70:$F$70</c:f>
              <c:numCache>
                <c:formatCode>0%</c:formatCode>
                <c:ptCount val="2"/>
                <c:pt idx="0">
                  <c:v>0</c:v>
                </c:pt>
                <c:pt idx="1">
                  <c:v>0</c:v>
                </c:pt>
              </c:numCache>
            </c:numRef>
          </c:val>
          <c:extLst>
            <c:ext xmlns:c16="http://schemas.microsoft.com/office/drawing/2014/chart" uri="{C3380CC4-5D6E-409C-BE32-E72D297353CC}">
              <c16:uniqueId val="{00000000-06FE-4CDF-B111-5032EE581A50}"/>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strRef>
              <c:f>'   VT   '!$E$69:$F$69</c:f>
              <c:strCache>
                <c:ptCount val="2"/>
                <c:pt idx="0">
                  <c:v>VEM</c:v>
                </c:pt>
                <c:pt idx="1">
                  <c:v>DVE</c:v>
                </c:pt>
              </c:strCache>
            </c:strRef>
          </c:xVal>
          <c:yVal>
            <c:numRef>
              <c:f>'   VT   '!$E$72:$F$72</c:f>
              <c:numCache>
                <c:formatCode>0.0</c:formatCode>
                <c:ptCount val="2"/>
                <c:pt idx="0">
                  <c:v>0.3</c:v>
                </c:pt>
                <c:pt idx="1">
                  <c:v>0.3</c:v>
                </c:pt>
              </c:numCache>
            </c:numRef>
          </c:yVal>
          <c:smooth val="0"/>
          <c:extLst>
            <c:ext xmlns:c16="http://schemas.microsoft.com/office/drawing/2014/chart" uri="{C3380CC4-5D6E-409C-BE32-E72D297353CC}">
              <c16:uniqueId val="{00000001-06FE-4CDF-B111-5032EE581A50}"/>
            </c:ext>
          </c:extLst>
        </c:ser>
        <c:ser>
          <c:idx val="2"/>
          <c:order val="2"/>
          <c:spPr>
            <a:ln w="15875" cap="rnd">
              <a:solidFill>
                <a:srgbClr val="FF0000"/>
              </a:solidFill>
              <a:prstDash val="sysDash"/>
              <a:round/>
            </a:ln>
            <a:effectLst/>
          </c:spPr>
          <c:marker>
            <c:symbol val="none"/>
          </c:marker>
          <c:xVal>
            <c:strRef>
              <c:f>'   VT   '!$E$69:$F$69</c:f>
              <c:strCache>
                <c:ptCount val="2"/>
                <c:pt idx="0">
                  <c:v>VEM</c:v>
                </c:pt>
                <c:pt idx="1">
                  <c:v>DVE</c:v>
                </c:pt>
              </c:strCache>
            </c:strRef>
          </c:xVal>
          <c:yVal>
            <c:numRef>
              <c:f>'   VT   '!$J$73:$L$73</c:f>
              <c:numCache>
                <c:formatCode>0%</c:formatCode>
                <c:ptCount val="3"/>
                <c:pt idx="0">
                  <c:v>1</c:v>
                </c:pt>
                <c:pt idx="1">
                  <c:v>1</c:v>
                </c:pt>
                <c:pt idx="2">
                  <c:v>1</c:v>
                </c:pt>
              </c:numCache>
            </c:numRef>
          </c:yVal>
          <c:smooth val="0"/>
          <c:extLst>
            <c:ext xmlns:c16="http://schemas.microsoft.com/office/drawing/2014/chart" uri="{C3380CC4-5D6E-409C-BE32-E72D297353CC}">
              <c16:uniqueId val="{00000002-06FE-4CDF-B111-5032EE581A50}"/>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vert="horz"/>
          <a:lstStyle/>
          <a:p>
            <a:pPr>
              <a:defRPr/>
            </a:pPr>
            <a:r>
              <a:rPr lang="fr-BE"/>
              <a:t>Système français</a:t>
            </a:r>
          </a:p>
        </c:rich>
      </c:tx>
      <c:overlay val="0"/>
      <c:spPr>
        <a:noFill/>
        <a:ln>
          <a:noFill/>
        </a:ln>
        <a:effectLst/>
      </c:spPr>
    </c:title>
    <c:autoTitleDeleted val="0"/>
    <c:plotArea>
      <c:layout/>
      <c:barChart>
        <c:barDir val="col"/>
        <c:grouping val="stacked"/>
        <c:varyColors val="0"/>
        <c:ser>
          <c:idx val="0"/>
          <c:order val="0"/>
          <c:spPr>
            <a:solidFill>
              <a:srgbClr val="FFDB43"/>
            </a:solidFill>
            <a:ln>
              <a:noFill/>
            </a:ln>
            <a:effectLst/>
          </c:spPr>
          <c:invertIfNegative val="0"/>
          <c:dLbls>
            <c:spPr>
              <a:noFill/>
              <a:ln>
                <a:noFill/>
              </a:ln>
              <a:effectLst/>
            </c:spPr>
            <c:txPr>
              <a:bodyPr rot="0" vert="horz"/>
              <a:lstStyle/>
              <a:p>
                <a:pPr>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VT   '!$J$69:$L$69</c:f>
              <c:strCache>
                <c:ptCount val="3"/>
                <c:pt idx="0">
                  <c:v>UFL</c:v>
                </c:pt>
                <c:pt idx="1">
                  <c:v>PDIN</c:v>
                </c:pt>
                <c:pt idx="2">
                  <c:v>PDIE</c:v>
                </c:pt>
              </c:strCache>
            </c:strRef>
          </c:cat>
          <c:val>
            <c:numRef>
              <c:f>'   VT   '!$J$70:$L$70</c:f>
              <c:numCache>
                <c:formatCode>0%</c:formatCode>
                <c:ptCount val="3"/>
                <c:pt idx="0">
                  <c:v>0</c:v>
                </c:pt>
                <c:pt idx="1">
                  <c:v>0</c:v>
                </c:pt>
                <c:pt idx="2">
                  <c:v>0</c:v>
                </c:pt>
              </c:numCache>
            </c:numRef>
          </c:val>
          <c:extLst>
            <c:ext xmlns:c16="http://schemas.microsoft.com/office/drawing/2014/chart" uri="{C3380CC4-5D6E-409C-BE32-E72D297353CC}">
              <c16:uniqueId val="{00000000-8786-48B8-8DDC-C8E4C5006BF2}"/>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strRef>
              <c:f>'   VT   '!$J$69:$L$69</c:f>
              <c:strCache>
                <c:ptCount val="3"/>
                <c:pt idx="0">
                  <c:v>UFL</c:v>
                </c:pt>
                <c:pt idx="1">
                  <c:v>PDIN</c:v>
                </c:pt>
                <c:pt idx="2">
                  <c:v>PDIE</c:v>
                </c:pt>
              </c:strCache>
            </c:strRef>
          </c:xVal>
          <c:yVal>
            <c:numRef>
              <c:f>'   VT   '!$J$72:$L$72</c:f>
              <c:numCache>
                <c:formatCode>0.0</c:formatCode>
                <c:ptCount val="3"/>
                <c:pt idx="0">
                  <c:v>0.3</c:v>
                </c:pt>
                <c:pt idx="1">
                  <c:v>0.3</c:v>
                </c:pt>
                <c:pt idx="2">
                  <c:v>0.3</c:v>
                </c:pt>
              </c:numCache>
            </c:numRef>
          </c:yVal>
          <c:smooth val="0"/>
          <c:extLst>
            <c:ext xmlns:c16="http://schemas.microsoft.com/office/drawing/2014/chart" uri="{C3380CC4-5D6E-409C-BE32-E72D297353CC}">
              <c16:uniqueId val="{00000001-8786-48B8-8DDC-C8E4C5006BF2}"/>
            </c:ext>
          </c:extLst>
        </c:ser>
        <c:ser>
          <c:idx val="2"/>
          <c:order val="2"/>
          <c:spPr>
            <a:ln w="15875" cap="rnd">
              <a:solidFill>
                <a:srgbClr val="FF0000"/>
              </a:solidFill>
              <a:prstDash val="sysDash"/>
              <a:round/>
            </a:ln>
            <a:effectLst/>
          </c:spPr>
          <c:marker>
            <c:symbol val="none"/>
          </c:marker>
          <c:xVal>
            <c:strRef>
              <c:f>'   VT   '!$J$69:$L$69</c:f>
              <c:strCache>
                <c:ptCount val="3"/>
                <c:pt idx="0">
                  <c:v>UFL</c:v>
                </c:pt>
                <c:pt idx="1">
                  <c:v>PDIN</c:v>
                </c:pt>
                <c:pt idx="2">
                  <c:v>PDIE</c:v>
                </c:pt>
              </c:strCache>
            </c:strRef>
          </c:xVal>
          <c:yVal>
            <c:numRef>
              <c:f>'   VT   '!$J$73:$L$73</c:f>
              <c:numCache>
                <c:formatCode>0%</c:formatCode>
                <c:ptCount val="3"/>
                <c:pt idx="0">
                  <c:v>1</c:v>
                </c:pt>
                <c:pt idx="1">
                  <c:v>1</c:v>
                </c:pt>
                <c:pt idx="2">
                  <c:v>1</c:v>
                </c:pt>
              </c:numCache>
            </c:numRef>
          </c:yVal>
          <c:smooth val="0"/>
          <c:extLst>
            <c:ext xmlns:c16="http://schemas.microsoft.com/office/drawing/2014/chart" uri="{C3380CC4-5D6E-409C-BE32-E72D297353CC}">
              <c16:uniqueId val="{00000002-8786-48B8-8DDC-C8E4C5006BF2}"/>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505273808"/>
        <c:crosses val="autoZero"/>
        <c:auto val="1"/>
        <c:lblAlgn val="ctr"/>
        <c:lblOffset val="100"/>
        <c:noMultiLvlLbl val="0"/>
      </c:catAx>
      <c:valAx>
        <c:axId val="505273808"/>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800" b="0">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050" baseline="0">
                <a:latin typeface="Arial" panose="020B0604020202020204" pitchFamily="34" charset="0"/>
                <a:cs typeface="Arial" panose="020B0604020202020204" pitchFamily="34" charset="0"/>
              </a:rPr>
              <a:t>Système français</a:t>
            </a:r>
            <a:endParaRPr lang="fr-BE" sz="1050">
              <a:latin typeface="Arial" panose="020B0604020202020204" pitchFamily="34" charset="0"/>
              <a:cs typeface="Arial" panose="020B0604020202020204" pitchFamily="34" charset="0"/>
            </a:endParaRPr>
          </a:p>
        </c:rich>
      </c:tx>
      <c:overlay val="0"/>
      <c:spPr>
        <a:noFill/>
        <a:ln>
          <a:noFill/>
        </a:ln>
        <a:effectLst/>
      </c:spPr>
    </c:title>
    <c:autoTitleDeleted val="0"/>
    <c:plotArea>
      <c:layout/>
      <c:barChart>
        <c:barDir val="col"/>
        <c:grouping val="stacked"/>
        <c:varyColors val="0"/>
        <c:ser>
          <c:idx val="0"/>
          <c:order val="0"/>
          <c:spPr>
            <a:solidFill>
              <a:srgbClr val="FFDB4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GL   '!$J$70:$L$70</c:f>
              <c:strCache>
                <c:ptCount val="3"/>
                <c:pt idx="0">
                  <c:v>UFL</c:v>
                </c:pt>
                <c:pt idx="1">
                  <c:v>PDIN</c:v>
                </c:pt>
                <c:pt idx="2">
                  <c:v>PDIE</c:v>
                </c:pt>
              </c:strCache>
            </c:strRef>
          </c:cat>
          <c:val>
            <c:numRef>
              <c:f>'   GL   '!$J$71:$L$71</c:f>
              <c:numCache>
                <c:formatCode>0%</c:formatCode>
                <c:ptCount val="3"/>
                <c:pt idx="0">
                  <c:v>0</c:v>
                </c:pt>
                <c:pt idx="1">
                  <c:v>0</c:v>
                </c:pt>
                <c:pt idx="2">
                  <c:v>0</c:v>
                </c:pt>
              </c:numCache>
            </c:numRef>
          </c:val>
          <c:extLst>
            <c:ext xmlns:c16="http://schemas.microsoft.com/office/drawing/2014/chart" uri="{C3380CC4-5D6E-409C-BE32-E72D297353CC}">
              <c16:uniqueId val="{00000000-F755-4ED6-8D14-96AA16B7B621}"/>
            </c:ext>
          </c:extLst>
        </c:ser>
        <c:dLbls>
          <c:showLegendKey val="0"/>
          <c:showVal val="0"/>
          <c:showCatName val="0"/>
          <c:showSerName val="0"/>
          <c:showPercent val="0"/>
          <c:showBubbleSize val="0"/>
        </c:dLbls>
        <c:gapWidth val="50"/>
        <c:overlap val="100"/>
        <c:axId val="470588832"/>
        <c:axId val="505273808"/>
      </c:barChart>
      <c:scatterChart>
        <c:scatterStyle val="lineMarker"/>
        <c:varyColors val="0"/>
        <c:ser>
          <c:idx val="1"/>
          <c:order val="1"/>
          <c:spPr>
            <a:ln w="25400" cap="rnd">
              <a:noFill/>
              <a:round/>
            </a:ln>
            <a:effectLst/>
          </c:spPr>
          <c:marker>
            <c:symbol val="none"/>
          </c:marker>
          <c:xVal>
            <c:strRef>
              <c:f>'   GL   '!$J$70:$L$70</c:f>
              <c:strCache>
                <c:ptCount val="3"/>
                <c:pt idx="0">
                  <c:v>UFL</c:v>
                </c:pt>
                <c:pt idx="1">
                  <c:v>PDIN</c:v>
                </c:pt>
                <c:pt idx="2">
                  <c:v>PDIE</c:v>
                </c:pt>
              </c:strCache>
            </c:strRef>
          </c:xVal>
          <c:yVal>
            <c:numRef>
              <c:f>'   GL   '!$J$73:$L$73</c:f>
              <c:numCache>
                <c:formatCode>0.0</c:formatCode>
                <c:ptCount val="3"/>
                <c:pt idx="0">
                  <c:v>0.3</c:v>
                </c:pt>
                <c:pt idx="1">
                  <c:v>0.3</c:v>
                </c:pt>
                <c:pt idx="2">
                  <c:v>0.3</c:v>
                </c:pt>
              </c:numCache>
            </c:numRef>
          </c:yVal>
          <c:smooth val="0"/>
          <c:extLst>
            <c:ext xmlns:c16="http://schemas.microsoft.com/office/drawing/2014/chart" uri="{C3380CC4-5D6E-409C-BE32-E72D297353CC}">
              <c16:uniqueId val="{00000004-F755-4ED6-8D14-96AA16B7B621}"/>
            </c:ext>
          </c:extLst>
        </c:ser>
        <c:ser>
          <c:idx val="2"/>
          <c:order val="2"/>
          <c:spPr>
            <a:ln w="15875" cap="rnd">
              <a:solidFill>
                <a:srgbClr val="FF0000"/>
              </a:solidFill>
              <a:prstDash val="sysDash"/>
              <a:round/>
            </a:ln>
            <a:effectLst/>
          </c:spPr>
          <c:marker>
            <c:symbol val="none"/>
          </c:marker>
          <c:xVal>
            <c:strRef>
              <c:f>'   GL   '!$J$70:$L$70</c:f>
              <c:strCache>
                <c:ptCount val="3"/>
                <c:pt idx="0">
                  <c:v>UFL</c:v>
                </c:pt>
                <c:pt idx="1">
                  <c:v>PDIN</c:v>
                </c:pt>
                <c:pt idx="2">
                  <c:v>PDIE</c:v>
                </c:pt>
              </c:strCache>
            </c:strRef>
          </c:xVal>
          <c:yVal>
            <c:numRef>
              <c:f>'   GL   '!$J$74:$L$74</c:f>
              <c:numCache>
                <c:formatCode>0%</c:formatCode>
                <c:ptCount val="3"/>
                <c:pt idx="0">
                  <c:v>1</c:v>
                </c:pt>
                <c:pt idx="1">
                  <c:v>1</c:v>
                </c:pt>
                <c:pt idx="2">
                  <c:v>1</c:v>
                </c:pt>
              </c:numCache>
            </c:numRef>
          </c:yVal>
          <c:smooth val="0"/>
          <c:extLst>
            <c:ext xmlns:c16="http://schemas.microsoft.com/office/drawing/2014/chart" uri="{C3380CC4-5D6E-409C-BE32-E72D297353CC}">
              <c16:uniqueId val="{00000005-F755-4ED6-8D14-96AA16B7B621}"/>
            </c:ext>
          </c:extLst>
        </c:ser>
        <c:dLbls>
          <c:showLegendKey val="0"/>
          <c:showVal val="0"/>
          <c:showCatName val="0"/>
          <c:showSerName val="0"/>
          <c:showPercent val="0"/>
          <c:showBubbleSize val="0"/>
        </c:dLbls>
        <c:axId val="470588832"/>
        <c:axId val="505273808"/>
      </c:scatterChart>
      <c:catAx>
        <c:axId val="470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05273808"/>
        <c:crosses val="autoZero"/>
        <c:auto val="1"/>
        <c:lblAlgn val="ctr"/>
        <c:lblOffset val="100"/>
        <c:noMultiLvlLbl val="0"/>
      </c:catAx>
      <c:valAx>
        <c:axId val="505273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 b="0" i="0" u="none" strike="noStrike" kern="1200" baseline="0">
                <a:solidFill>
                  <a:schemeClr val="bg1"/>
                </a:solidFill>
                <a:latin typeface="+mn-lt"/>
                <a:ea typeface="+mn-ea"/>
                <a:cs typeface="+mn-cs"/>
              </a:defRPr>
            </a:pPr>
            <a:endParaRPr lang="fr-FR"/>
          </a:p>
        </c:txPr>
        <c:crossAx val="4705888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G$80" lockText="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18.xml"/><Relationship Id="rId1" Type="http://schemas.openxmlformats.org/officeDocument/2006/relationships/image" Target="../media/image1.png"/><Relationship Id="rId4"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0.xml"/><Relationship Id="rId1" Type="http://schemas.openxmlformats.org/officeDocument/2006/relationships/image" Target="../media/image1.png"/><Relationship Id="rId4"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2.xml"/><Relationship Id="rId1" Type="http://schemas.openxmlformats.org/officeDocument/2006/relationships/image" Target="../media/image1.png"/><Relationship Id="rId4"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4.xml"/><Relationship Id="rId1" Type="http://schemas.openxmlformats.org/officeDocument/2006/relationships/image" Target="../media/image1.png"/><Relationship Id="rId4" Type="http://schemas.openxmlformats.org/officeDocument/2006/relationships/image" Target="../media/image3.png"/></Relationships>
</file>

<file path=xl/drawings/_rels/drawing18.xml.rels><?xml version="1.0" encoding="UTF-8" standalone="yes"?>
<Relationships xmlns="http://schemas.openxmlformats.org/package/2006/relationships"><Relationship Id="rId2" Type="http://schemas.openxmlformats.org/officeDocument/2006/relationships/chart" Target="../charts/chart26.xml"/><Relationship Id="rId1" Type="http://schemas.openxmlformats.org/officeDocument/2006/relationships/chart" Target="../charts/chart25.xm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1.png"/><Relationship Id="rId5" Type="http://schemas.openxmlformats.org/officeDocument/2006/relationships/image" Target="../media/image3.png"/><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image" Target="../media/image1.png"/><Relationship Id="rId5" Type="http://schemas.openxmlformats.org/officeDocument/2006/relationships/image" Target="../media/image3.png"/><Relationship Id="rId4"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image" Target="../media/image1.png"/><Relationship Id="rId5" Type="http://schemas.openxmlformats.org/officeDocument/2006/relationships/image" Target="../media/image3.png"/><Relationship Id="rId4"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image" Target="../media/image1.png"/><Relationship Id="rId5" Type="http://schemas.openxmlformats.org/officeDocument/2006/relationships/image" Target="../media/image3.png"/><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20954</xdr:colOff>
      <xdr:row>0</xdr:row>
      <xdr:rowOff>9525</xdr:rowOff>
    </xdr:from>
    <xdr:to>
      <xdr:col>4</xdr:col>
      <xdr:colOff>283857</xdr:colOff>
      <xdr:row>3</xdr:row>
      <xdr:rowOff>135255</xdr:rowOff>
    </xdr:to>
    <xdr:pic>
      <xdr:nvPicPr>
        <xdr:cNvPr id="3" name="Imag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0954" y="9525"/>
          <a:ext cx="2272678" cy="672465"/>
        </a:xfrm>
        <a:prstGeom prst="rect">
          <a:avLst/>
        </a:prstGeom>
      </xdr:spPr>
    </xdr:pic>
    <xdr:clientData/>
  </xdr:twoCellAnchor>
  <xdr:twoCellAnchor editAs="oneCell">
    <xdr:from>
      <xdr:col>5</xdr:col>
      <xdr:colOff>591730</xdr:colOff>
      <xdr:row>0</xdr:row>
      <xdr:rowOff>59055</xdr:rowOff>
    </xdr:from>
    <xdr:to>
      <xdr:col>6</xdr:col>
      <xdr:colOff>555746</xdr:colOff>
      <xdr:row>3</xdr:row>
      <xdr:rowOff>135255</xdr:rowOff>
    </xdr:to>
    <xdr:pic>
      <xdr:nvPicPr>
        <xdr:cNvPr id="4" name="Image 3" descr="Logos à télécharger – TourismeWallonie">
          <a:extLst>
            <a:ext uri="{FF2B5EF4-FFF2-40B4-BE49-F238E27FC236}">
              <a16:creationId xmlns:a16="http://schemas.microsoft.com/office/drawing/2014/main" id="{9DC09A13-CF0F-F256-C630-BA0788BB41F2}"/>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1795" b="9219"/>
        <a:stretch/>
      </xdr:blipFill>
      <xdr:spPr bwMode="auto">
        <a:xfrm>
          <a:off x="3782605" y="59055"/>
          <a:ext cx="741256" cy="6153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476250</xdr:colOff>
      <xdr:row>0</xdr:row>
      <xdr:rowOff>81915</xdr:rowOff>
    </xdr:from>
    <xdr:to>
      <xdr:col>5</xdr:col>
      <xdr:colOff>439844</xdr:colOff>
      <xdr:row>3</xdr:row>
      <xdr:rowOff>113085</xdr:rowOff>
    </xdr:to>
    <xdr:pic>
      <xdr:nvPicPr>
        <xdr:cNvPr id="6" name="Image 5" descr="Terraé, vers des systèmes agroécologiques | Réseau wallon PAC">
          <a:extLst>
            <a:ext uri="{FF2B5EF4-FFF2-40B4-BE49-F238E27FC236}">
              <a16:creationId xmlns:a16="http://schemas.microsoft.com/office/drawing/2014/main" id="{59ED4296-5B35-97E8-2D4B-80FE74717E9E}"/>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886075" y="81915"/>
          <a:ext cx="740834" cy="5740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23</xdr:col>
      <xdr:colOff>247649</xdr:colOff>
      <xdr:row>19</xdr:row>
      <xdr:rowOff>28575</xdr:rowOff>
    </xdr:from>
    <xdr:to>
      <xdr:col>26</xdr:col>
      <xdr:colOff>390525</xdr:colOff>
      <xdr:row>20</xdr:row>
      <xdr:rowOff>171450</xdr:rowOff>
    </xdr:to>
    <xdr:sp macro="" textlink="">
      <xdr:nvSpPr>
        <xdr:cNvPr id="2" name="Légende : encadrée 1">
          <a:extLst>
            <a:ext uri="{FF2B5EF4-FFF2-40B4-BE49-F238E27FC236}">
              <a16:creationId xmlns:a16="http://schemas.microsoft.com/office/drawing/2014/main" id="{00000000-0008-0000-0B00-000002000000}"/>
            </a:ext>
          </a:extLst>
        </xdr:cNvPr>
        <xdr:cNvSpPr/>
      </xdr:nvSpPr>
      <xdr:spPr>
        <a:xfrm>
          <a:off x="15087599" y="3181350"/>
          <a:ext cx="2428876" cy="542925"/>
        </a:xfrm>
        <a:prstGeom prst="borderCallout1">
          <a:avLst>
            <a:gd name="adj1" fmla="val 52817"/>
            <a:gd name="adj2" fmla="val 8"/>
            <a:gd name="adj3" fmla="val 68419"/>
            <a:gd name="adj4" fmla="val -10482"/>
          </a:avLst>
        </a:prstGeom>
        <a:solidFill>
          <a:schemeClr val="accent4">
            <a:lumMod val="20000"/>
            <a:lumOff val="80000"/>
          </a:schemeClr>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BE" sz="1000" b="1" u="sng">
              <a:solidFill>
                <a:sysClr val="windowText" lastClr="000000"/>
              </a:solidFill>
              <a:latin typeface="Arial" panose="020B0604020202020204" pitchFamily="34" charset="0"/>
              <a:cs typeface="Arial" panose="020B0604020202020204" pitchFamily="34" charset="0"/>
            </a:rPr>
            <a:t>€/kg MS</a:t>
          </a:r>
          <a:r>
            <a:rPr lang="fr-BE" sz="1000" b="1" u="sng"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a:t>
          </a:r>
          <a:r>
            <a:rPr lang="fr-BE" sz="1000">
              <a:solidFill>
                <a:sysClr val="windowText" lastClr="000000"/>
              </a:solidFill>
              <a:latin typeface="Arial" panose="020B0604020202020204" pitchFamily="34" charset="0"/>
              <a:cs typeface="Arial" panose="020B0604020202020204" pitchFamily="34" charset="0"/>
            </a:rPr>
            <a:t>our les fourrages,</a:t>
          </a:r>
          <a:r>
            <a:rPr lang="fr-BE" sz="1000" baseline="0">
              <a:solidFill>
                <a:sysClr val="windowText" lastClr="000000"/>
              </a:solidFill>
              <a:latin typeface="Arial" panose="020B0604020202020204" pitchFamily="34" charset="0"/>
              <a:cs typeface="Arial" panose="020B0604020202020204" pitchFamily="34" charset="0"/>
            </a:rPr>
            <a:t> coproduits, racines et tubercules.                                               </a:t>
          </a:r>
          <a:r>
            <a:rPr lang="fr-BE" sz="1000" b="1" u="sng" baseline="0">
              <a:solidFill>
                <a:sysClr val="windowText" lastClr="000000"/>
              </a:solidFill>
              <a:latin typeface="Arial" panose="020B0604020202020204" pitchFamily="34" charset="0"/>
              <a:cs typeface="Arial" panose="020B0604020202020204" pitchFamily="34" charset="0"/>
            </a:rPr>
            <a:t>€/kg brut</a:t>
          </a:r>
          <a:r>
            <a:rPr lang="fr-BE" sz="1000" b="1" u="none"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pour les concentrés secs. </a:t>
          </a:r>
          <a:endParaRPr lang="fr-BE"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17</xdr:col>
      <xdr:colOff>170447</xdr:colOff>
      <xdr:row>2</xdr:row>
      <xdr:rowOff>180475</xdr:rowOff>
    </xdr:from>
    <xdr:to>
      <xdr:col>22</xdr:col>
      <xdr:colOff>110290</xdr:colOff>
      <xdr:row>17</xdr:row>
      <xdr:rowOff>120317</xdr:rowOff>
    </xdr:to>
    <xdr:graphicFrame macro="">
      <xdr:nvGraphicFramePr>
        <xdr:cNvPr id="3" name="Graphique 2">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84020</xdr:colOff>
      <xdr:row>16</xdr:row>
      <xdr:rowOff>30080</xdr:rowOff>
    </xdr:from>
    <xdr:to>
      <xdr:col>4</xdr:col>
      <xdr:colOff>501315</xdr:colOff>
      <xdr:row>18</xdr:row>
      <xdr:rowOff>90236</xdr:rowOff>
    </xdr:to>
    <xdr:sp macro="" textlink="">
      <xdr:nvSpPr>
        <xdr:cNvPr id="5" name="Légende : encadrée 4">
          <a:extLst>
            <a:ext uri="{FF2B5EF4-FFF2-40B4-BE49-F238E27FC236}">
              <a16:creationId xmlns:a16="http://schemas.microsoft.com/office/drawing/2014/main" id="{00000000-0008-0000-0B00-000005000000}"/>
            </a:ext>
          </a:extLst>
        </xdr:cNvPr>
        <xdr:cNvSpPr/>
      </xdr:nvSpPr>
      <xdr:spPr>
        <a:xfrm>
          <a:off x="2293820" y="3087605"/>
          <a:ext cx="1436470" cy="450681"/>
        </a:xfrm>
        <a:prstGeom prst="borderCallout1">
          <a:avLst>
            <a:gd name="adj1" fmla="val -5678"/>
            <a:gd name="adj2" fmla="val 6566"/>
            <a:gd name="adj3" fmla="val -45047"/>
            <a:gd name="adj4" fmla="val 6536"/>
          </a:avLst>
        </a:prstGeom>
        <a:no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BE" sz="800" b="0" u="none" baseline="0">
              <a:solidFill>
                <a:schemeClr val="bg1">
                  <a:lumMod val="50000"/>
                </a:schemeClr>
              </a:solidFill>
              <a:latin typeface="Arial" panose="020B0604020202020204" pitchFamily="34" charset="0"/>
              <a:cs typeface="Arial" panose="020B0604020202020204" pitchFamily="34" charset="0"/>
            </a:rPr>
            <a:t>Poids le plus fréquemment observé selon la race choisie (IDELE, 2014)</a:t>
          </a:r>
          <a:endParaRPr lang="fr-BE" sz="800" b="0" u="none">
            <a:solidFill>
              <a:schemeClr val="bg1">
                <a:lumMod val="50000"/>
              </a:schemeClr>
            </a:solidFill>
            <a:latin typeface="Arial" panose="020B0604020202020204" pitchFamily="34" charset="0"/>
            <a:cs typeface="Arial" panose="020B060402020202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19050</xdr:colOff>
      <xdr:row>0</xdr:row>
      <xdr:rowOff>52180</xdr:rowOff>
    </xdr:from>
    <xdr:to>
      <xdr:col>0</xdr:col>
      <xdr:colOff>1508759</xdr:colOff>
      <xdr:row>2</xdr:row>
      <xdr:rowOff>17597</xdr:rowOff>
    </xdr:to>
    <xdr:pic>
      <xdr:nvPicPr>
        <xdr:cNvPr id="2" name="Imag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19050" y="52180"/>
          <a:ext cx="1489709" cy="460717"/>
        </a:xfrm>
        <a:prstGeom prst="rect">
          <a:avLst/>
        </a:prstGeom>
      </xdr:spPr>
    </xdr:pic>
    <xdr:clientData/>
  </xdr:twoCellAnchor>
  <xdr:twoCellAnchor>
    <xdr:from>
      <xdr:col>3</xdr:col>
      <xdr:colOff>428625</xdr:colOff>
      <xdr:row>10</xdr:row>
      <xdr:rowOff>85725</xdr:rowOff>
    </xdr:from>
    <xdr:to>
      <xdr:col>7</xdr:col>
      <xdr:colOff>35925</xdr:colOff>
      <xdr:row>21</xdr:row>
      <xdr:rowOff>104550</xdr:rowOff>
    </xdr:to>
    <xdr:graphicFrame macro="">
      <xdr:nvGraphicFramePr>
        <xdr:cNvPr id="15" name="Graphique 14">
          <a:extLst>
            <a:ext uri="{FF2B5EF4-FFF2-40B4-BE49-F238E27FC236}">
              <a16:creationId xmlns:a16="http://schemas.microsoft.com/office/drawing/2014/main" id="{00000000-0008-0000-0C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231012</xdr:colOff>
      <xdr:row>0</xdr:row>
      <xdr:rowOff>85725</xdr:rowOff>
    </xdr:from>
    <xdr:to>
      <xdr:col>2</xdr:col>
      <xdr:colOff>47246</xdr:colOff>
      <xdr:row>1</xdr:row>
      <xdr:rowOff>295499</xdr:rowOff>
    </xdr:to>
    <xdr:pic>
      <xdr:nvPicPr>
        <xdr:cNvPr id="5" name="Image 4" descr="Logos à télécharger – TourismeWallonie">
          <a:extLst>
            <a:ext uri="{FF2B5EF4-FFF2-40B4-BE49-F238E27FC236}">
              <a16:creationId xmlns:a16="http://schemas.microsoft.com/office/drawing/2014/main" id="{EF35528C-90F5-4E54-9B92-732F81C0CA9F}"/>
            </a:ext>
          </a:extLst>
        </xdr:cNvPr>
        <xdr:cNvPicPr>
          <a:picLocks noChangeAspect="1" noChangeArrowheads="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t="11795" b="9219"/>
        <a:stretch/>
      </xdr:blipFill>
      <xdr:spPr bwMode="auto">
        <a:xfrm>
          <a:off x="2174112" y="85725"/>
          <a:ext cx="511559" cy="390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1657350</xdr:colOff>
      <xdr:row>0</xdr:row>
      <xdr:rowOff>99058</xdr:rowOff>
    </xdr:from>
    <xdr:to>
      <xdr:col>1</xdr:col>
      <xdr:colOff>189527</xdr:colOff>
      <xdr:row>1</xdr:row>
      <xdr:rowOff>295497</xdr:rowOff>
    </xdr:to>
    <xdr:pic>
      <xdr:nvPicPr>
        <xdr:cNvPr id="6" name="Image 5" descr="Terraé, vers des systèmes agroécologiques | Réseau wallon PAC">
          <a:extLst>
            <a:ext uri="{FF2B5EF4-FFF2-40B4-BE49-F238E27FC236}">
              <a16:creationId xmlns:a16="http://schemas.microsoft.com/office/drawing/2014/main" id="{CC368E00-0421-4275-A15B-F5208503AC1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657350" y="99058"/>
          <a:ext cx="475277" cy="3774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23</xdr:col>
      <xdr:colOff>247649</xdr:colOff>
      <xdr:row>14</xdr:row>
      <xdr:rowOff>28575</xdr:rowOff>
    </xdr:from>
    <xdr:to>
      <xdr:col>26</xdr:col>
      <xdr:colOff>390525</xdr:colOff>
      <xdr:row>15</xdr:row>
      <xdr:rowOff>171450</xdr:rowOff>
    </xdr:to>
    <xdr:sp macro="" textlink="">
      <xdr:nvSpPr>
        <xdr:cNvPr id="2" name="Légende : encadrée 1">
          <a:extLst>
            <a:ext uri="{FF2B5EF4-FFF2-40B4-BE49-F238E27FC236}">
              <a16:creationId xmlns:a16="http://schemas.microsoft.com/office/drawing/2014/main" id="{00000000-0008-0000-0D00-000002000000}"/>
            </a:ext>
          </a:extLst>
        </xdr:cNvPr>
        <xdr:cNvSpPr/>
      </xdr:nvSpPr>
      <xdr:spPr>
        <a:xfrm>
          <a:off x="14691359" y="3253740"/>
          <a:ext cx="2423161" cy="548640"/>
        </a:xfrm>
        <a:prstGeom prst="borderCallout1">
          <a:avLst>
            <a:gd name="adj1" fmla="val 52817"/>
            <a:gd name="adj2" fmla="val 8"/>
            <a:gd name="adj3" fmla="val 68419"/>
            <a:gd name="adj4" fmla="val -10482"/>
          </a:avLst>
        </a:prstGeom>
        <a:solidFill>
          <a:schemeClr val="accent4">
            <a:lumMod val="20000"/>
            <a:lumOff val="80000"/>
          </a:schemeClr>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BE" sz="1000" b="1" u="sng">
              <a:solidFill>
                <a:sysClr val="windowText" lastClr="000000"/>
              </a:solidFill>
              <a:latin typeface="Arial" panose="020B0604020202020204" pitchFamily="34" charset="0"/>
              <a:cs typeface="Arial" panose="020B0604020202020204" pitchFamily="34" charset="0"/>
            </a:rPr>
            <a:t>€/kg MS</a:t>
          </a:r>
          <a:r>
            <a:rPr lang="fr-BE" sz="1000" b="1" u="sng"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a:t>
          </a:r>
          <a:r>
            <a:rPr lang="fr-BE" sz="1000">
              <a:solidFill>
                <a:sysClr val="windowText" lastClr="000000"/>
              </a:solidFill>
              <a:latin typeface="Arial" panose="020B0604020202020204" pitchFamily="34" charset="0"/>
              <a:cs typeface="Arial" panose="020B0604020202020204" pitchFamily="34" charset="0"/>
            </a:rPr>
            <a:t>our les fourrages,</a:t>
          </a:r>
          <a:r>
            <a:rPr lang="fr-BE" sz="1000" baseline="0">
              <a:solidFill>
                <a:sysClr val="windowText" lastClr="000000"/>
              </a:solidFill>
              <a:latin typeface="Arial" panose="020B0604020202020204" pitchFamily="34" charset="0"/>
              <a:cs typeface="Arial" panose="020B0604020202020204" pitchFamily="34" charset="0"/>
            </a:rPr>
            <a:t> coproduits, racines et tubercules.                                               </a:t>
          </a:r>
          <a:r>
            <a:rPr lang="fr-BE" sz="1000" b="1" u="sng" baseline="0">
              <a:solidFill>
                <a:sysClr val="windowText" lastClr="000000"/>
              </a:solidFill>
              <a:latin typeface="Arial" panose="020B0604020202020204" pitchFamily="34" charset="0"/>
              <a:cs typeface="Arial" panose="020B0604020202020204" pitchFamily="34" charset="0"/>
            </a:rPr>
            <a:t>€/kg brut</a:t>
          </a:r>
          <a:r>
            <a:rPr lang="fr-BE" sz="1000" b="1" u="none"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pour les concentrés secs. </a:t>
          </a:r>
          <a:endParaRPr lang="fr-BE"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17</xdr:col>
      <xdr:colOff>228600</xdr:colOff>
      <xdr:row>3</xdr:row>
      <xdr:rowOff>0</xdr:rowOff>
    </xdr:from>
    <xdr:to>
      <xdr:col>21</xdr:col>
      <xdr:colOff>381000</xdr:colOff>
      <xdr:row>13</xdr:row>
      <xdr:rowOff>104775</xdr:rowOff>
    </xdr:to>
    <xdr:graphicFrame macro="">
      <xdr:nvGraphicFramePr>
        <xdr:cNvPr id="3" name="Graphique 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19050</xdr:colOff>
      <xdr:row>0</xdr:row>
      <xdr:rowOff>52180</xdr:rowOff>
    </xdr:from>
    <xdr:to>
      <xdr:col>0</xdr:col>
      <xdr:colOff>1508759</xdr:colOff>
      <xdr:row>2</xdr:row>
      <xdr:rowOff>17597</xdr:rowOff>
    </xdr:to>
    <xdr:pic>
      <xdr:nvPicPr>
        <xdr:cNvPr id="2" name="Imag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19050" y="52180"/>
          <a:ext cx="1489709" cy="460717"/>
        </a:xfrm>
        <a:prstGeom prst="rect">
          <a:avLst/>
        </a:prstGeom>
      </xdr:spPr>
    </xdr:pic>
    <xdr:clientData/>
  </xdr:twoCellAnchor>
  <xdr:twoCellAnchor>
    <xdr:from>
      <xdr:col>3</xdr:col>
      <xdr:colOff>390525</xdr:colOff>
      <xdr:row>10</xdr:row>
      <xdr:rowOff>57148</xdr:rowOff>
    </xdr:from>
    <xdr:to>
      <xdr:col>6</xdr:col>
      <xdr:colOff>797925</xdr:colOff>
      <xdr:row>21</xdr:row>
      <xdr:rowOff>75973</xdr:rowOff>
    </xdr:to>
    <xdr:graphicFrame macro="">
      <xdr:nvGraphicFramePr>
        <xdr:cNvPr id="6" name="Graphique 5">
          <a:extLst>
            <a:ext uri="{FF2B5EF4-FFF2-40B4-BE49-F238E27FC236}">
              <a16:creationId xmlns:a16="http://schemas.microsoft.com/office/drawing/2014/main" id="{00000000-0008-0000-0E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192912</xdr:colOff>
      <xdr:row>0</xdr:row>
      <xdr:rowOff>85725</xdr:rowOff>
    </xdr:from>
    <xdr:to>
      <xdr:col>2</xdr:col>
      <xdr:colOff>9146</xdr:colOff>
      <xdr:row>1</xdr:row>
      <xdr:rowOff>295499</xdr:rowOff>
    </xdr:to>
    <xdr:pic>
      <xdr:nvPicPr>
        <xdr:cNvPr id="3" name="Image 2" descr="Logos à télécharger – TourismeWallonie">
          <a:extLst>
            <a:ext uri="{FF2B5EF4-FFF2-40B4-BE49-F238E27FC236}">
              <a16:creationId xmlns:a16="http://schemas.microsoft.com/office/drawing/2014/main" id="{7306187E-3584-4948-979E-C4A8297FDA12}"/>
            </a:ext>
          </a:extLst>
        </xdr:cNvPr>
        <xdr:cNvPicPr>
          <a:picLocks noChangeAspect="1" noChangeArrowheads="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t="11795" b="9219"/>
        <a:stretch/>
      </xdr:blipFill>
      <xdr:spPr bwMode="auto">
        <a:xfrm>
          <a:off x="2136012" y="85725"/>
          <a:ext cx="511559" cy="390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1619250</xdr:colOff>
      <xdr:row>0</xdr:row>
      <xdr:rowOff>99058</xdr:rowOff>
    </xdr:from>
    <xdr:to>
      <xdr:col>1</xdr:col>
      <xdr:colOff>151427</xdr:colOff>
      <xdr:row>1</xdr:row>
      <xdr:rowOff>295497</xdr:rowOff>
    </xdr:to>
    <xdr:pic>
      <xdr:nvPicPr>
        <xdr:cNvPr id="4" name="Image 3" descr="Terraé, vers des systèmes agroécologiques | Réseau wallon PAC">
          <a:extLst>
            <a:ext uri="{FF2B5EF4-FFF2-40B4-BE49-F238E27FC236}">
              <a16:creationId xmlns:a16="http://schemas.microsoft.com/office/drawing/2014/main" id="{717B0908-1E55-45D9-8595-D6F58CC3D69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619250" y="99058"/>
          <a:ext cx="475277" cy="3774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20</xdr:col>
      <xdr:colOff>270509</xdr:colOff>
      <xdr:row>17</xdr:row>
      <xdr:rowOff>36195</xdr:rowOff>
    </xdr:from>
    <xdr:to>
      <xdr:col>24</xdr:col>
      <xdr:colOff>382905</xdr:colOff>
      <xdr:row>18</xdr:row>
      <xdr:rowOff>177165</xdr:rowOff>
    </xdr:to>
    <xdr:sp macro="" textlink="">
      <xdr:nvSpPr>
        <xdr:cNvPr id="2" name="Légende : encadrée 1">
          <a:extLst>
            <a:ext uri="{FF2B5EF4-FFF2-40B4-BE49-F238E27FC236}">
              <a16:creationId xmlns:a16="http://schemas.microsoft.com/office/drawing/2014/main" id="{00000000-0008-0000-0F00-000002000000}"/>
            </a:ext>
          </a:extLst>
        </xdr:cNvPr>
        <xdr:cNvSpPr/>
      </xdr:nvSpPr>
      <xdr:spPr>
        <a:xfrm>
          <a:off x="13291184" y="2931795"/>
          <a:ext cx="2665096" cy="541020"/>
        </a:xfrm>
        <a:prstGeom prst="borderCallout1">
          <a:avLst>
            <a:gd name="adj1" fmla="val 52817"/>
            <a:gd name="adj2" fmla="val 8"/>
            <a:gd name="adj3" fmla="val 68419"/>
            <a:gd name="adj4" fmla="val -10482"/>
          </a:avLst>
        </a:prstGeom>
        <a:solidFill>
          <a:schemeClr val="accent4">
            <a:lumMod val="20000"/>
            <a:lumOff val="80000"/>
          </a:schemeClr>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BE" sz="1000" b="1" u="sng">
              <a:solidFill>
                <a:sysClr val="windowText" lastClr="000000"/>
              </a:solidFill>
              <a:latin typeface="Arial" panose="020B0604020202020204" pitchFamily="34" charset="0"/>
              <a:cs typeface="Arial" panose="020B0604020202020204" pitchFamily="34" charset="0"/>
            </a:rPr>
            <a:t>€/kg MS</a:t>
          </a:r>
          <a:r>
            <a:rPr lang="fr-BE" sz="1000" b="1" u="sng"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a:t>
          </a:r>
          <a:r>
            <a:rPr lang="fr-BE" sz="1000">
              <a:solidFill>
                <a:sysClr val="windowText" lastClr="000000"/>
              </a:solidFill>
              <a:latin typeface="Arial" panose="020B0604020202020204" pitchFamily="34" charset="0"/>
              <a:cs typeface="Arial" panose="020B0604020202020204" pitchFamily="34" charset="0"/>
            </a:rPr>
            <a:t>our les fourrages,</a:t>
          </a:r>
          <a:r>
            <a:rPr lang="fr-BE" sz="1000" baseline="0">
              <a:solidFill>
                <a:sysClr val="windowText" lastClr="000000"/>
              </a:solidFill>
              <a:latin typeface="Arial" panose="020B0604020202020204" pitchFamily="34" charset="0"/>
              <a:cs typeface="Arial" panose="020B0604020202020204" pitchFamily="34" charset="0"/>
            </a:rPr>
            <a:t> coproduits, racines et tubercules.                                               </a:t>
          </a:r>
          <a:r>
            <a:rPr lang="fr-BE" sz="1000" b="1" u="sng" baseline="0">
              <a:solidFill>
                <a:sysClr val="windowText" lastClr="000000"/>
              </a:solidFill>
              <a:latin typeface="Arial" panose="020B0604020202020204" pitchFamily="34" charset="0"/>
              <a:cs typeface="Arial" panose="020B0604020202020204" pitchFamily="34" charset="0"/>
            </a:rPr>
            <a:t>€/kg brut</a:t>
          </a:r>
          <a:r>
            <a:rPr lang="fr-BE" sz="1000" b="1" u="none"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pour les concentrés secs. </a:t>
          </a:r>
          <a:endParaRPr lang="fr-BE"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15</xdr:col>
      <xdr:colOff>114300</xdr:colOff>
      <xdr:row>3</xdr:row>
      <xdr:rowOff>47625</xdr:rowOff>
    </xdr:from>
    <xdr:to>
      <xdr:col>19</xdr:col>
      <xdr:colOff>342900</xdr:colOff>
      <xdr:row>15</xdr:row>
      <xdr:rowOff>190500</xdr:rowOff>
    </xdr:to>
    <xdr:graphicFrame macro="">
      <xdr:nvGraphicFramePr>
        <xdr:cNvPr id="3" name="Graphique 2">
          <a:extLst>
            <a:ext uri="{FF2B5EF4-FFF2-40B4-BE49-F238E27FC236}">
              <a16:creationId xmlns:a16="http://schemas.microsoft.com/office/drawing/2014/main" id="{00000000-0008-0000-0F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xdr:colOff>
      <xdr:row>0</xdr:row>
      <xdr:rowOff>52180</xdr:rowOff>
    </xdr:from>
    <xdr:to>
      <xdr:col>0</xdr:col>
      <xdr:colOff>1508759</xdr:colOff>
      <xdr:row>2</xdr:row>
      <xdr:rowOff>17597</xdr:rowOff>
    </xdr:to>
    <xdr:pic>
      <xdr:nvPicPr>
        <xdr:cNvPr id="2" name="Imag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19050" y="52180"/>
          <a:ext cx="1489709" cy="460717"/>
        </a:xfrm>
        <a:prstGeom prst="rect">
          <a:avLst/>
        </a:prstGeom>
      </xdr:spPr>
    </xdr:pic>
    <xdr:clientData/>
  </xdr:twoCellAnchor>
  <xdr:twoCellAnchor>
    <xdr:from>
      <xdr:col>3</xdr:col>
      <xdr:colOff>533398</xdr:colOff>
      <xdr:row>10</xdr:row>
      <xdr:rowOff>57148</xdr:rowOff>
    </xdr:from>
    <xdr:to>
      <xdr:col>7</xdr:col>
      <xdr:colOff>140698</xdr:colOff>
      <xdr:row>21</xdr:row>
      <xdr:rowOff>75973</xdr:rowOff>
    </xdr:to>
    <xdr:graphicFrame macro="">
      <xdr:nvGraphicFramePr>
        <xdr:cNvPr id="6" name="Graphique 5">
          <a:extLst>
            <a:ext uri="{FF2B5EF4-FFF2-40B4-BE49-F238E27FC236}">
              <a16:creationId xmlns:a16="http://schemas.microsoft.com/office/drawing/2014/main" id="{00000000-0008-0000-1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211962</xdr:colOff>
      <xdr:row>0</xdr:row>
      <xdr:rowOff>66675</xdr:rowOff>
    </xdr:from>
    <xdr:to>
      <xdr:col>2</xdr:col>
      <xdr:colOff>28196</xdr:colOff>
      <xdr:row>1</xdr:row>
      <xdr:rowOff>272639</xdr:rowOff>
    </xdr:to>
    <xdr:pic>
      <xdr:nvPicPr>
        <xdr:cNvPr id="3" name="Image 2" descr="Logos à télécharger – TourismeWallonie">
          <a:extLst>
            <a:ext uri="{FF2B5EF4-FFF2-40B4-BE49-F238E27FC236}">
              <a16:creationId xmlns:a16="http://schemas.microsoft.com/office/drawing/2014/main" id="{B63A96F0-FB6B-40F7-8E61-C89F60DAAA1F}"/>
            </a:ext>
          </a:extLst>
        </xdr:cNvPr>
        <xdr:cNvPicPr>
          <a:picLocks noChangeAspect="1" noChangeArrowheads="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t="11795" b="9219"/>
        <a:stretch/>
      </xdr:blipFill>
      <xdr:spPr bwMode="auto">
        <a:xfrm>
          <a:off x="2155062" y="66675"/>
          <a:ext cx="511559" cy="3869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1638300</xdr:colOff>
      <xdr:row>0</xdr:row>
      <xdr:rowOff>80008</xdr:rowOff>
    </xdr:from>
    <xdr:to>
      <xdr:col>1</xdr:col>
      <xdr:colOff>170477</xdr:colOff>
      <xdr:row>1</xdr:row>
      <xdr:rowOff>272637</xdr:rowOff>
    </xdr:to>
    <xdr:pic>
      <xdr:nvPicPr>
        <xdr:cNvPr id="4" name="Image 3" descr="Terraé, vers des systèmes agroécologiques | Réseau wallon PAC">
          <a:extLst>
            <a:ext uri="{FF2B5EF4-FFF2-40B4-BE49-F238E27FC236}">
              <a16:creationId xmlns:a16="http://schemas.microsoft.com/office/drawing/2014/main" id="{09D8D5A7-4557-4E0F-A7E5-DFB19A2BD1C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638300" y="80008"/>
          <a:ext cx="475277" cy="3736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15</xdr:col>
      <xdr:colOff>171450</xdr:colOff>
      <xdr:row>3</xdr:row>
      <xdr:rowOff>49530</xdr:rowOff>
    </xdr:from>
    <xdr:to>
      <xdr:col>20</xdr:col>
      <xdr:colOff>228600</xdr:colOff>
      <xdr:row>17</xdr:row>
      <xdr:rowOff>180975</xdr:rowOff>
    </xdr:to>
    <xdr:graphicFrame macro="">
      <xdr:nvGraphicFramePr>
        <xdr:cNvPr id="3" name="Graphique 2">
          <a:extLst>
            <a:ext uri="{FF2B5EF4-FFF2-40B4-BE49-F238E27FC236}">
              <a16:creationId xmlns:a16="http://schemas.microsoft.com/office/drawing/2014/main" id="{5EF6723B-FACA-4902-AF56-AB261534BF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251459</xdr:colOff>
      <xdr:row>19</xdr:row>
      <xdr:rowOff>36195</xdr:rowOff>
    </xdr:from>
    <xdr:to>
      <xdr:col>24</xdr:col>
      <xdr:colOff>697230</xdr:colOff>
      <xdr:row>21</xdr:row>
      <xdr:rowOff>5715</xdr:rowOff>
    </xdr:to>
    <xdr:sp macro="" textlink="">
      <xdr:nvSpPr>
        <xdr:cNvPr id="4" name="Légende : encadrée 3">
          <a:extLst>
            <a:ext uri="{FF2B5EF4-FFF2-40B4-BE49-F238E27FC236}">
              <a16:creationId xmlns:a16="http://schemas.microsoft.com/office/drawing/2014/main" id="{41230A99-CF50-4618-A8C9-C8F6D4504AF8}"/>
            </a:ext>
          </a:extLst>
        </xdr:cNvPr>
        <xdr:cNvSpPr/>
      </xdr:nvSpPr>
      <xdr:spPr>
        <a:xfrm>
          <a:off x="14367509" y="3350895"/>
          <a:ext cx="2484121" cy="541020"/>
        </a:xfrm>
        <a:prstGeom prst="borderCallout1">
          <a:avLst>
            <a:gd name="adj1" fmla="val 52817"/>
            <a:gd name="adj2" fmla="val 8"/>
            <a:gd name="adj3" fmla="val 68419"/>
            <a:gd name="adj4" fmla="val -10482"/>
          </a:avLst>
        </a:prstGeom>
        <a:solidFill>
          <a:schemeClr val="accent4">
            <a:lumMod val="20000"/>
            <a:lumOff val="80000"/>
          </a:schemeClr>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BE" sz="1000" b="1" u="sng">
              <a:solidFill>
                <a:sysClr val="windowText" lastClr="000000"/>
              </a:solidFill>
              <a:latin typeface="Arial" panose="020B0604020202020204" pitchFamily="34" charset="0"/>
              <a:cs typeface="Arial" panose="020B0604020202020204" pitchFamily="34" charset="0"/>
            </a:rPr>
            <a:t>€/kg MS</a:t>
          </a:r>
          <a:r>
            <a:rPr lang="fr-BE" sz="1000" b="1" u="sng"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a:t>
          </a:r>
          <a:r>
            <a:rPr lang="fr-BE" sz="1000">
              <a:solidFill>
                <a:sysClr val="windowText" lastClr="000000"/>
              </a:solidFill>
              <a:latin typeface="Arial" panose="020B0604020202020204" pitchFamily="34" charset="0"/>
              <a:cs typeface="Arial" panose="020B0604020202020204" pitchFamily="34" charset="0"/>
            </a:rPr>
            <a:t>our les fourrages,</a:t>
          </a:r>
          <a:r>
            <a:rPr lang="fr-BE" sz="1000" baseline="0">
              <a:solidFill>
                <a:sysClr val="windowText" lastClr="000000"/>
              </a:solidFill>
              <a:latin typeface="Arial" panose="020B0604020202020204" pitchFamily="34" charset="0"/>
              <a:cs typeface="Arial" panose="020B0604020202020204" pitchFamily="34" charset="0"/>
            </a:rPr>
            <a:t> coproduits, racines et tubercules.                                               </a:t>
          </a:r>
          <a:r>
            <a:rPr lang="fr-BE" sz="1000" b="1" u="sng" baseline="0">
              <a:solidFill>
                <a:sysClr val="windowText" lastClr="000000"/>
              </a:solidFill>
              <a:latin typeface="Arial" panose="020B0604020202020204" pitchFamily="34" charset="0"/>
              <a:cs typeface="Arial" panose="020B0604020202020204" pitchFamily="34" charset="0"/>
            </a:rPr>
            <a:t>€/kg brut</a:t>
          </a:r>
          <a:r>
            <a:rPr lang="fr-BE" sz="1000" b="1" u="none"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pour les concentrés secs. </a:t>
          </a:r>
          <a:endParaRPr lang="fr-BE"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19050</xdr:colOff>
      <xdr:row>0</xdr:row>
      <xdr:rowOff>52180</xdr:rowOff>
    </xdr:from>
    <xdr:to>
      <xdr:col>0</xdr:col>
      <xdr:colOff>1504949</xdr:colOff>
      <xdr:row>2</xdr:row>
      <xdr:rowOff>21407</xdr:rowOff>
    </xdr:to>
    <xdr:pic>
      <xdr:nvPicPr>
        <xdr:cNvPr id="2" name="Image 1">
          <a:extLst>
            <a:ext uri="{FF2B5EF4-FFF2-40B4-BE49-F238E27FC236}">
              <a16:creationId xmlns:a16="http://schemas.microsoft.com/office/drawing/2014/main" id="{809FCF8F-8474-40AF-B82D-8AAE47098393}"/>
            </a:ext>
          </a:extLst>
        </xdr:cNvPr>
        <xdr:cNvPicPr>
          <a:picLocks noChangeAspect="1"/>
        </xdr:cNvPicPr>
      </xdr:nvPicPr>
      <xdr:blipFill>
        <a:blip xmlns:r="http://schemas.openxmlformats.org/officeDocument/2006/relationships" r:embed="rId1"/>
        <a:stretch>
          <a:fillRect/>
        </a:stretch>
      </xdr:blipFill>
      <xdr:spPr>
        <a:xfrm>
          <a:off x="15240" y="55990"/>
          <a:ext cx="1493519" cy="447382"/>
        </a:xfrm>
        <a:prstGeom prst="rect">
          <a:avLst/>
        </a:prstGeom>
      </xdr:spPr>
    </xdr:pic>
    <xdr:clientData/>
  </xdr:twoCellAnchor>
  <xdr:twoCellAnchor>
    <xdr:from>
      <xdr:col>4</xdr:col>
      <xdr:colOff>5715</xdr:colOff>
      <xdr:row>10</xdr:row>
      <xdr:rowOff>26670</xdr:rowOff>
    </xdr:from>
    <xdr:to>
      <xdr:col>7</xdr:col>
      <xdr:colOff>661034</xdr:colOff>
      <xdr:row>23</xdr:row>
      <xdr:rowOff>26669</xdr:rowOff>
    </xdr:to>
    <xdr:graphicFrame macro="">
      <xdr:nvGraphicFramePr>
        <xdr:cNvPr id="3" name="Graphique 2">
          <a:extLst>
            <a:ext uri="{FF2B5EF4-FFF2-40B4-BE49-F238E27FC236}">
              <a16:creationId xmlns:a16="http://schemas.microsoft.com/office/drawing/2014/main" id="{E685D921-900F-4151-8E1B-FA62DE6D14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211962</xdr:colOff>
      <xdr:row>0</xdr:row>
      <xdr:rowOff>66675</xdr:rowOff>
    </xdr:from>
    <xdr:to>
      <xdr:col>2</xdr:col>
      <xdr:colOff>28196</xdr:colOff>
      <xdr:row>1</xdr:row>
      <xdr:rowOff>276449</xdr:rowOff>
    </xdr:to>
    <xdr:pic>
      <xdr:nvPicPr>
        <xdr:cNvPr id="4" name="Image 3" descr="Logos à télécharger – TourismeWallonie">
          <a:extLst>
            <a:ext uri="{FF2B5EF4-FFF2-40B4-BE49-F238E27FC236}">
              <a16:creationId xmlns:a16="http://schemas.microsoft.com/office/drawing/2014/main" id="{9EB2B6AB-2F26-44FA-90E4-B5A8B0D3F88D}"/>
            </a:ext>
          </a:extLst>
        </xdr:cNvPr>
        <xdr:cNvPicPr>
          <a:picLocks noChangeAspect="1" noChangeArrowheads="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t="11795" b="9219"/>
        <a:stretch/>
      </xdr:blipFill>
      <xdr:spPr bwMode="auto">
        <a:xfrm>
          <a:off x="2155062" y="66675"/>
          <a:ext cx="511559" cy="390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1638300</xdr:colOff>
      <xdr:row>0</xdr:row>
      <xdr:rowOff>80008</xdr:rowOff>
    </xdr:from>
    <xdr:to>
      <xdr:col>1</xdr:col>
      <xdr:colOff>170477</xdr:colOff>
      <xdr:row>1</xdr:row>
      <xdr:rowOff>276447</xdr:rowOff>
    </xdr:to>
    <xdr:pic>
      <xdr:nvPicPr>
        <xdr:cNvPr id="5" name="Image 4" descr="Terraé, vers des systèmes agroécologiques | Réseau wallon PAC">
          <a:extLst>
            <a:ext uri="{FF2B5EF4-FFF2-40B4-BE49-F238E27FC236}">
              <a16:creationId xmlns:a16="http://schemas.microsoft.com/office/drawing/2014/main" id="{0F72B1B6-5242-49C7-88A5-9E6F4099782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638300" y="80008"/>
          <a:ext cx="475277" cy="3774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25</xdr:col>
      <xdr:colOff>257174</xdr:colOff>
      <xdr:row>15</xdr:row>
      <xdr:rowOff>247650</xdr:rowOff>
    </xdr:from>
    <xdr:to>
      <xdr:col>28</xdr:col>
      <xdr:colOff>533400</xdr:colOff>
      <xdr:row>18</xdr:row>
      <xdr:rowOff>9525</xdr:rowOff>
    </xdr:to>
    <xdr:sp macro="" textlink="">
      <xdr:nvSpPr>
        <xdr:cNvPr id="2" name="Légende : encadrée 1">
          <a:extLst>
            <a:ext uri="{FF2B5EF4-FFF2-40B4-BE49-F238E27FC236}">
              <a16:creationId xmlns:a16="http://schemas.microsoft.com/office/drawing/2014/main" id="{5101F7AE-7C9D-4E79-8D0A-ADB8F9AB8157}"/>
            </a:ext>
          </a:extLst>
        </xdr:cNvPr>
        <xdr:cNvSpPr/>
      </xdr:nvSpPr>
      <xdr:spPr>
        <a:xfrm>
          <a:off x="16464914" y="2937510"/>
          <a:ext cx="2630806" cy="508635"/>
        </a:xfrm>
        <a:prstGeom prst="borderCallout1">
          <a:avLst>
            <a:gd name="adj1" fmla="val 52817"/>
            <a:gd name="adj2" fmla="val 8"/>
            <a:gd name="adj3" fmla="val 68419"/>
            <a:gd name="adj4" fmla="val -10482"/>
          </a:avLst>
        </a:prstGeom>
        <a:solidFill>
          <a:schemeClr val="accent4">
            <a:lumMod val="20000"/>
            <a:lumOff val="80000"/>
          </a:schemeClr>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BE" sz="1000" b="1" u="sng">
              <a:solidFill>
                <a:sysClr val="windowText" lastClr="000000"/>
              </a:solidFill>
              <a:latin typeface="Arial" panose="020B0604020202020204" pitchFamily="34" charset="0"/>
              <a:cs typeface="Arial" panose="020B0604020202020204" pitchFamily="34" charset="0"/>
            </a:rPr>
            <a:t>€/kg MS</a:t>
          </a:r>
          <a:r>
            <a:rPr lang="fr-BE" sz="1000" b="1" u="sng"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a:t>
          </a:r>
          <a:r>
            <a:rPr lang="fr-BE" sz="1000">
              <a:solidFill>
                <a:sysClr val="windowText" lastClr="000000"/>
              </a:solidFill>
              <a:latin typeface="Arial" panose="020B0604020202020204" pitchFamily="34" charset="0"/>
              <a:cs typeface="Arial" panose="020B0604020202020204" pitchFamily="34" charset="0"/>
            </a:rPr>
            <a:t>our les fourrages,</a:t>
          </a:r>
          <a:r>
            <a:rPr lang="fr-BE" sz="1000" baseline="0">
              <a:solidFill>
                <a:sysClr val="windowText" lastClr="000000"/>
              </a:solidFill>
              <a:latin typeface="Arial" panose="020B0604020202020204" pitchFamily="34" charset="0"/>
              <a:cs typeface="Arial" panose="020B0604020202020204" pitchFamily="34" charset="0"/>
            </a:rPr>
            <a:t> coproduits, racines et tubercules.                                               </a:t>
          </a:r>
          <a:r>
            <a:rPr lang="fr-BE" sz="1000" b="1" u="sng" baseline="0">
              <a:solidFill>
                <a:sysClr val="windowText" lastClr="000000"/>
              </a:solidFill>
              <a:latin typeface="Arial" panose="020B0604020202020204" pitchFamily="34" charset="0"/>
              <a:cs typeface="Arial" panose="020B0604020202020204" pitchFamily="34" charset="0"/>
            </a:rPr>
            <a:t>€/kg brut</a:t>
          </a:r>
          <a:r>
            <a:rPr lang="fr-BE" sz="1000" b="1" u="none"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pour les concentrés secs. </a:t>
          </a:r>
          <a:endParaRPr lang="fr-BE"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18</xdr:col>
      <xdr:colOff>209550</xdr:colOff>
      <xdr:row>3</xdr:row>
      <xdr:rowOff>66675</xdr:rowOff>
    </xdr:from>
    <xdr:to>
      <xdr:col>20</xdr:col>
      <xdr:colOff>689339</xdr:colOff>
      <xdr:row>14</xdr:row>
      <xdr:rowOff>26398</xdr:rowOff>
    </xdr:to>
    <xdr:graphicFrame macro="">
      <xdr:nvGraphicFramePr>
        <xdr:cNvPr id="3" name="Graphique 2">
          <a:extLst>
            <a:ext uri="{FF2B5EF4-FFF2-40B4-BE49-F238E27FC236}">
              <a16:creationId xmlns:a16="http://schemas.microsoft.com/office/drawing/2014/main" id="{C382B4D8-D7F6-4FCD-88CF-B5DD821A8D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504825</xdr:colOff>
      <xdr:row>3</xdr:row>
      <xdr:rowOff>55790</xdr:rowOff>
    </xdr:from>
    <xdr:to>
      <xdr:col>24</xdr:col>
      <xdr:colOff>130110</xdr:colOff>
      <xdr:row>14</xdr:row>
      <xdr:rowOff>13111</xdr:rowOff>
    </xdr:to>
    <xdr:graphicFrame macro="">
      <xdr:nvGraphicFramePr>
        <xdr:cNvPr id="4" name="Graphique 3">
          <a:extLst>
            <a:ext uri="{FF2B5EF4-FFF2-40B4-BE49-F238E27FC236}">
              <a16:creationId xmlns:a16="http://schemas.microsoft.com/office/drawing/2014/main" id="{43C7DFD1-4FCE-4A49-9C62-569A145BEB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16</xdr:col>
      <xdr:colOff>179071</xdr:colOff>
      <xdr:row>3</xdr:row>
      <xdr:rowOff>0</xdr:rowOff>
    </xdr:from>
    <xdr:to>
      <xdr:col>19</xdr:col>
      <xdr:colOff>255270</xdr:colOff>
      <xdr:row>16</xdr:row>
      <xdr:rowOff>140971</xdr:rowOff>
    </xdr:to>
    <xdr:graphicFrame macro="">
      <xdr:nvGraphicFramePr>
        <xdr:cNvPr id="9" name="Graphique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220979</xdr:colOff>
      <xdr:row>3</xdr:row>
      <xdr:rowOff>7620</xdr:rowOff>
    </xdr:from>
    <xdr:to>
      <xdr:col>22</xdr:col>
      <xdr:colOff>478155</xdr:colOff>
      <xdr:row>16</xdr:row>
      <xdr:rowOff>150495</xdr:rowOff>
    </xdr:to>
    <xdr:graphicFrame macro="">
      <xdr:nvGraphicFramePr>
        <xdr:cNvPr id="4" name="Graphique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247649</xdr:colOff>
      <xdr:row>18</xdr:row>
      <xdr:rowOff>28575</xdr:rowOff>
    </xdr:from>
    <xdr:to>
      <xdr:col>26</xdr:col>
      <xdr:colOff>390525</xdr:colOff>
      <xdr:row>19</xdr:row>
      <xdr:rowOff>171450</xdr:rowOff>
    </xdr:to>
    <xdr:sp macro="" textlink="">
      <xdr:nvSpPr>
        <xdr:cNvPr id="11" name="Légende : encadrée 10">
          <a:extLst>
            <a:ext uri="{FF2B5EF4-FFF2-40B4-BE49-F238E27FC236}">
              <a16:creationId xmlns:a16="http://schemas.microsoft.com/office/drawing/2014/main" id="{00000000-0008-0000-0200-00000B000000}"/>
            </a:ext>
          </a:extLst>
        </xdr:cNvPr>
        <xdr:cNvSpPr/>
      </xdr:nvSpPr>
      <xdr:spPr>
        <a:xfrm>
          <a:off x="15087599" y="3181350"/>
          <a:ext cx="2428876" cy="542925"/>
        </a:xfrm>
        <a:prstGeom prst="borderCallout1">
          <a:avLst>
            <a:gd name="adj1" fmla="val 52817"/>
            <a:gd name="adj2" fmla="val 8"/>
            <a:gd name="adj3" fmla="val 68419"/>
            <a:gd name="adj4" fmla="val -10482"/>
          </a:avLst>
        </a:prstGeom>
        <a:solidFill>
          <a:schemeClr val="accent4">
            <a:lumMod val="20000"/>
            <a:lumOff val="80000"/>
          </a:schemeClr>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BE" sz="1000" b="1" u="sng">
              <a:solidFill>
                <a:sysClr val="windowText" lastClr="000000"/>
              </a:solidFill>
              <a:latin typeface="Arial" panose="020B0604020202020204" pitchFamily="34" charset="0"/>
              <a:cs typeface="Arial" panose="020B0604020202020204" pitchFamily="34" charset="0"/>
            </a:rPr>
            <a:t>€/kg MS</a:t>
          </a:r>
          <a:r>
            <a:rPr lang="fr-BE" sz="1000" b="1" u="sng"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a:t>
          </a:r>
          <a:r>
            <a:rPr lang="fr-BE" sz="1000">
              <a:solidFill>
                <a:sysClr val="windowText" lastClr="000000"/>
              </a:solidFill>
              <a:latin typeface="Arial" panose="020B0604020202020204" pitchFamily="34" charset="0"/>
              <a:cs typeface="Arial" panose="020B0604020202020204" pitchFamily="34" charset="0"/>
            </a:rPr>
            <a:t>our les fourrages,</a:t>
          </a:r>
          <a:r>
            <a:rPr lang="fr-BE" sz="1000" baseline="0">
              <a:solidFill>
                <a:sysClr val="windowText" lastClr="000000"/>
              </a:solidFill>
              <a:latin typeface="Arial" panose="020B0604020202020204" pitchFamily="34" charset="0"/>
              <a:cs typeface="Arial" panose="020B0604020202020204" pitchFamily="34" charset="0"/>
            </a:rPr>
            <a:t> coproduits, racines et tubercules.                                               </a:t>
          </a:r>
          <a:r>
            <a:rPr lang="fr-BE" sz="1000" b="1" u="sng" baseline="0">
              <a:solidFill>
                <a:sysClr val="windowText" lastClr="000000"/>
              </a:solidFill>
              <a:latin typeface="Arial" panose="020B0604020202020204" pitchFamily="34" charset="0"/>
              <a:cs typeface="Arial" panose="020B0604020202020204" pitchFamily="34" charset="0"/>
            </a:rPr>
            <a:t>€/kg brut</a:t>
          </a:r>
          <a:r>
            <a:rPr lang="fr-BE" sz="1000" b="1" u="none"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pour les concentrés secs. </a:t>
          </a:r>
          <a:endParaRPr lang="fr-BE" sz="1000">
            <a:solidFill>
              <a:sysClr val="windowText" lastClr="000000"/>
            </a:solidFill>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2</xdr:col>
          <xdr:colOff>22860</xdr:colOff>
          <xdr:row>6</xdr:row>
          <xdr:rowOff>60960</xdr:rowOff>
        </xdr:from>
        <xdr:to>
          <xdr:col>3</xdr:col>
          <xdr:colOff>533400</xdr:colOff>
          <xdr:row>7</xdr:row>
          <xdr:rowOff>7620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200-000007040000}"/>
                </a:ext>
              </a:extLst>
            </xdr:cNvPr>
            <xdr:cNvSpPr/>
          </xdr:nvSpPr>
          <xdr:spPr bwMode="auto">
            <a:xfrm>
              <a:off x="0" y="0"/>
              <a:ext cx="0" cy="0"/>
            </a:xfrm>
            <a:prstGeom prst="rect">
              <a:avLst/>
            </a:prstGeom>
            <a:solidFill>
              <a:srgbClr val="FFF2CC"/>
            </a:solidFill>
            <a:ln w="3175">
              <a:solidFill>
                <a:srgbClr val="000000" mc:Ignorable="a14" a14:legacySpreadsheetColorIndex="64"/>
              </a:solidFill>
              <a:miter lim="800000"/>
              <a:headEnd/>
              <a:tailEnd/>
            </a:ln>
          </xdr:spPr>
          <xdr:txBody>
            <a:bodyPr vertOverflow="clip" wrap="square" lIns="27432" tIns="27432" rIns="0" bIns="27432" anchor="ctr" upright="1"/>
            <a:lstStyle/>
            <a:p>
              <a:pPr algn="l" rtl="0">
                <a:defRPr sz="1000"/>
              </a:pPr>
              <a:r>
                <a:rPr lang="fr-BE" sz="800" b="0" i="0" u="none" strike="noStrike" baseline="0">
                  <a:solidFill>
                    <a:srgbClr val="000000"/>
                  </a:solidFill>
                  <a:latin typeface="Segoe UI"/>
                  <a:cs typeface="Segoe UI"/>
                </a:rPr>
                <a:t>Cocher si Jersey</a:t>
              </a:r>
            </a:p>
          </xdr:txBody>
        </xdr:sp>
        <xdr:clientData/>
      </xdr:twoCellAnchor>
    </mc:Choice>
    <mc:Fallback/>
  </mc:AlternateContent>
  <xdr:twoCellAnchor>
    <xdr:from>
      <xdr:col>0</xdr:col>
      <xdr:colOff>0</xdr:colOff>
      <xdr:row>50</xdr:row>
      <xdr:rowOff>78329</xdr:rowOff>
    </xdr:from>
    <xdr:to>
      <xdr:col>24</xdr:col>
      <xdr:colOff>521970</xdr:colOff>
      <xdr:row>82</xdr:row>
      <xdr:rowOff>154529</xdr:rowOff>
    </xdr:to>
    <xdr:sp macro="" textlink="">
      <xdr:nvSpPr>
        <xdr:cNvPr id="2" name="Rectangle 1">
          <a:extLst>
            <a:ext uri="{FF2B5EF4-FFF2-40B4-BE49-F238E27FC236}">
              <a16:creationId xmlns:a16="http://schemas.microsoft.com/office/drawing/2014/main" id="{1C653375-EB1C-762B-68D4-1EFF0AE30083}"/>
            </a:ext>
          </a:extLst>
        </xdr:cNvPr>
        <xdr:cNvSpPr/>
      </xdr:nvSpPr>
      <xdr:spPr>
        <a:xfrm>
          <a:off x="0" y="9110270"/>
          <a:ext cx="16613617" cy="565673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BE" sz="1100" kern="12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52180</xdr:rowOff>
    </xdr:from>
    <xdr:to>
      <xdr:col>0</xdr:col>
      <xdr:colOff>1504949</xdr:colOff>
      <xdr:row>2</xdr:row>
      <xdr:rowOff>21407</xdr:rowOff>
    </xdr:to>
    <xdr:pic>
      <xdr:nvPicPr>
        <xdr:cNvPr id="3" name="Imag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9050" y="52180"/>
          <a:ext cx="1495424" cy="460717"/>
        </a:xfrm>
        <a:prstGeom prst="rect">
          <a:avLst/>
        </a:prstGeom>
      </xdr:spPr>
    </xdr:pic>
    <xdr:clientData/>
  </xdr:twoCellAnchor>
  <xdr:twoCellAnchor>
    <xdr:from>
      <xdr:col>5</xdr:col>
      <xdr:colOff>278131</xdr:colOff>
      <xdr:row>10</xdr:row>
      <xdr:rowOff>11430</xdr:rowOff>
    </xdr:from>
    <xdr:to>
      <xdr:col>8</xdr:col>
      <xdr:colOff>26670</xdr:colOff>
      <xdr:row>22</xdr:row>
      <xdr:rowOff>161924</xdr:rowOff>
    </xdr:to>
    <xdr:graphicFrame macro="">
      <xdr:nvGraphicFramePr>
        <xdr:cNvPr id="8" name="Graphique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472440</xdr:colOff>
      <xdr:row>10</xdr:row>
      <xdr:rowOff>15240</xdr:rowOff>
    </xdr:from>
    <xdr:to>
      <xdr:col>5</xdr:col>
      <xdr:colOff>407669</xdr:colOff>
      <xdr:row>23</xdr:row>
      <xdr:rowOff>0</xdr:rowOff>
    </xdr:to>
    <xdr:graphicFrame macro="">
      <xdr:nvGraphicFramePr>
        <xdr:cNvPr id="9" name="Graphique 8">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193585</xdr:colOff>
      <xdr:row>0</xdr:row>
      <xdr:rowOff>78106</xdr:rowOff>
    </xdr:from>
    <xdr:to>
      <xdr:col>2</xdr:col>
      <xdr:colOff>2760</xdr:colOff>
      <xdr:row>1</xdr:row>
      <xdr:rowOff>287656</xdr:rowOff>
    </xdr:to>
    <xdr:pic>
      <xdr:nvPicPr>
        <xdr:cNvPr id="5" name="Image 4" descr="Logos à télécharger – TourismeWallonie">
          <a:extLst>
            <a:ext uri="{FF2B5EF4-FFF2-40B4-BE49-F238E27FC236}">
              <a16:creationId xmlns:a16="http://schemas.microsoft.com/office/drawing/2014/main" id="{AAAFB69C-34F5-4005-950A-EDADB0DEC1B1}"/>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t="11795" b="9219"/>
        <a:stretch/>
      </xdr:blipFill>
      <xdr:spPr bwMode="auto">
        <a:xfrm>
          <a:off x="2136685" y="78106"/>
          <a:ext cx="504500"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1602106</xdr:colOff>
      <xdr:row>0</xdr:row>
      <xdr:rowOff>85724</xdr:rowOff>
    </xdr:from>
    <xdr:to>
      <xdr:col>1</xdr:col>
      <xdr:colOff>150195</xdr:colOff>
      <xdr:row>1</xdr:row>
      <xdr:rowOff>289559</xdr:rowOff>
    </xdr:to>
    <xdr:pic>
      <xdr:nvPicPr>
        <xdr:cNvPr id="6" name="Image 5" descr="Terraé, vers des systèmes agroécologiques | Réseau wallon PAC">
          <a:extLst>
            <a:ext uri="{FF2B5EF4-FFF2-40B4-BE49-F238E27FC236}">
              <a16:creationId xmlns:a16="http://schemas.microsoft.com/office/drawing/2014/main" id="{62F4BB17-0AD6-41AC-B0EC-9D45B93302ED}"/>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602106" y="85724"/>
          <a:ext cx="486707" cy="3831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24</xdr:col>
      <xdr:colOff>247649</xdr:colOff>
      <xdr:row>16</xdr:row>
      <xdr:rowOff>28575</xdr:rowOff>
    </xdr:from>
    <xdr:to>
      <xdr:col>27</xdr:col>
      <xdr:colOff>390525</xdr:colOff>
      <xdr:row>17</xdr:row>
      <xdr:rowOff>171450</xdr:rowOff>
    </xdr:to>
    <xdr:sp macro="" textlink="">
      <xdr:nvSpPr>
        <xdr:cNvPr id="2" name="Légende : encadrée 1">
          <a:extLst>
            <a:ext uri="{FF2B5EF4-FFF2-40B4-BE49-F238E27FC236}">
              <a16:creationId xmlns:a16="http://schemas.microsoft.com/office/drawing/2014/main" id="{00000000-0008-0000-0400-000002000000}"/>
            </a:ext>
          </a:extLst>
        </xdr:cNvPr>
        <xdr:cNvSpPr/>
      </xdr:nvSpPr>
      <xdr:spPr>
        <a:xfrm>
          <a:off x="15396209" y="3055620"/>
          <a:ext cx="2484121" cy="541020"/>
        </a:xfrm>
        <a:prstGeom prst="borderCallout1">
          <a:avLst>
            <a:gd name="adj1" fmla="val 52817"/>
            <a:gd name="adj2" fmla="val 8"/>
            <a:gd name="adj3" fmla="val 68419"/>
            <a:gd name="adj4" fmla="val -10482"/>
          </a:avLst>
        </a:prstGeom>
        <a:solidFill>
          <a:schemeClr val="accent4">
            <a:lumMod val="20000"/>
            <a:lumOff val="80000"/>
          </a:schemeClr>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BE" sz="1000" b="1" u="sng">
              <a:solidFill>
                <a:sysClr val="windowText" lastClr="000000"/>
              </a:solidFill>
              <a:latin typeface="Arial" panose="020B0604020202020204" pitchFamily="34" charset="0"/>
              <a:cs typeface="Arial" panose="020B0604020202020204" pitchFamily="34" charset="0"/>
            </a:rPr>
            <a:t>€/kg MS</a:t>
          </a:r>
          <a:r>
            <a:rPr lang="fr-BE" sz="1000" b="1" u="sng"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a:t>
          </a:r>
          <a:r>
            <a:rPr lang="fr-BE" sz="1000">
              <a:solidFill>
                <a:sysClr val="windowText" lastClr="000000"/>
              </a:solidFill>
              <a:latin typeface="Arial" panose="020B0604020202020204" pitchFamily="34" charset="0"/>
              <a:cs typeface="Arial" panose="020B0604020202020204" pitchFamily="34" charset="0"/>
            </a:rPr>
            <a:t>our les fourrages,</a:t>
          </a:r>
          <a:r>
            <a:rPr lang="fr-BE" sz="1000" baseline="0">
              <a:solidFill>
                <a:sysClr val="windowText" lastClr="000000"/>
              </a:solidFill>
              <a:latin typeface="Arial" panose="020B0604020202020204" pitchFamily="34" charset="0"/>
              <a:cs typeface="Arial" panose="020B0604020202020204" pitchFamily="34" charset="0"/>
            </a:rPr>
            <a:t> coproduits, racines et tubercules.                                               </a:t>
          </a:r>
          <a:r>
            <a:rPr lang="fr-BE" sz="1000" b="1" u="sng" baseline="0">
              <a:solidFill>
                <a:sysClr val="windowText" lastClr="000000"/>
              </a:solidFill>
              <a:latin typeface="Arial" panose="020B0604020202020204" pitchFamily="34" charset="0"/>
              <a:cs typeface="Arial" panose="020B0604020202020204" pitchFamily="34" charset="0"/>
            </a:rPr>
            <a:t>€/kg brut</a:t>
          </a:r>
          <a:r>
            <a:rPr lang="fr-BE" sz="1000" b="1" u="none"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pour les concentrés secs. </a:t>
          </a:r>
          <a:endParaRPr lang="fr-BE"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19</xdr:col>
      <xdr:colOff>57151</xdr:colOff>
      <xdr:row>3</xdr:row>
      <xdr:rowOff>0</xdr:rowOff>
    </xdr:from>
    <xdr:to>
      <xdr:col>23</xdr:col>
      <xdr:colOff>558167</xdr:colOff>
      <xdr:row>14</xdr:row>
      <xdr:rowOff>139065</xdr:rowOff>
    </xdr:to>
    <xdr:graphicFrame macro="">
      <xdr:nvGraphicFramePr>
        <xdr:cNvPr id="3" name="Graphique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179072</xdr:colOff>
      <xdr:row>3</xdr:row>
      <xdr:rowOff>0</xdr:rowOff>
    </xdr:from>
    <xdr:to>
      <xdr:col>19</xdr:col>
      <xdr:colOff>104776</xdr:colOff>
      <xdr:row>14</xdr:row>
      <xdr:rowOff>140971</xdr:rowOff>
    </xdr:to>
    <xdr:graphicFrame macro="">
      <xdr:nvGraphicFramePr>
        <xdr:cNvPr id="4" name="Graphique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52180</xdr:rowOff>
    </xdr:from>
    <xdr:to>
      <xdr:col>0</xdr:col>
      <xdr:colOff>1504949</xdr:colOff>
      <xdr:row>2</xdr:row>
      <xdr:rowOff>21407</xdr:rowOff>
    </xdr:to>
    <xdr:pic>
      <xdr:nvPicPr>
        <xdr:cNvPr id="2" name="Imag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240" y="55990"/>
          <a:ext cx="1493519" cy="447382"/>
        </a:xfrm>
        <a:prstGeom prst="rect">
          <a:avLst/>
        </a:prstGeom>
      </xdr:spPr>
    </xdr:pic>
    <xdr:clientData/>
  </xdr:twoCellAnchor>
  <xdr:twoCellAnchor>
    <xdr:from>
      <xdr:col>2</xdr:col>
      <xdr:colOff>525780</xdr:colOff>
      <xdr:row>10</xdr:row>
      <xdr:rowOff>114300</xdr:rowOff>
    </xdr:from>
    <xdr:to>
      <xdr:col>5</xdr:col>
      <xdr:colOff>297180</xdr:colOff>
      <xdr:row>23</xdr:row>
      <xdr:rowOff>135255</xdr:rowOff>
    </xdr:to>
    <xdr:graphicFrame macro="">
      <xdr:nvGraphicFramePr>
        <xdr:cNvPr id="6" name="Graphique 5">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251458</xdr:colOff>
      <xdr:row>10</xdr:row>
      <xdr:rowOff>76200</xdr:rowOff>
    </xdr:from>
    <xdr:to>
      <xdr:col>8</xdr:col>
      <xdr:colOff>121919</xdr:colOff>
      <xdr:row>23</xdr:row>
      <xdr:rowOff>135255</xdr:rowOff>
    </xdr:to>
    <xdr:graphicFrame macro="">
      <xdr:nvGraphicFramePr>
        <xdr:cNvPr id="7" name="Graphique 6">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181482</xdr:colOff>
      <xdr:row>0</xdr:row>
      <xdr:rowOff>78105</xdr:rowOff>
    </xdr:from>
    <xdr:to>
      <xdr:col>1</xdr:col>
      <xdr:colOff>675896</xdr:colOff>
      <xdr:row>1</xdr:row>
      <xdr:rowOff>285974</xdr:rowOff>
    </xdr:to>
    <xdr:pic>
      <xdr:nvPicPr>
        <xdr:cNvPr id="15" name="Image 14" descr="Logos à télécharger – TourismeWallonie">
          <a:extLst>
            <a:ext uri="{FF2B5EF4-FFF2-40B4-BE49-F238E27FC236}">
              <a16:creationId xmlns:a16="http://schemas.microsoft.com/office/drawing/2014/main" id="{AAE10641-E587-4D48-8953-A686A4E1C693}"/>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t="11795" b="9219"/>
        <a:stretch/>
      </xdr:blipFill>
      <xdr:spPr bwMode="auto">
        <a:xfrm>
          <a:off x="2124582" y="78105"/>
          <a:ext cx="503939" cy="3888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1600200</xdr:colOff>
      <xdr:row>0</xdr:row>
      <xdr:rowOff>85723</xdr:rowOff>
    </xdr:from>
    <xdr:to>
      <xdr:col>1</xdr:col>
      <xdr:colOff>136187</xdr:colOff>
      <xdr:row>1</xdr:row>
      <xdr:rowOff>291687</xdr:rowOff>
    </xdr:to>
    <xdr:pic>
      <xdr:nvPicPr>
        <xdr:cNvPr id="16" name="Image 15" descr="Terraé, vers des systèmes agroécologiques | Réseau wallon PAC">
          <a:extLst>
            <a:ext uri="{FF2B5EF4-FFF2-40B4-BE49-F238E27FC236}">
              <a16:creationId xmlns:a16="http://schemas.microsoft.com/office/drawing/2014/main" id="{D7A5E6DD-D1F2-4D68-80C6-29BDA83E8B9B}"/>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600200" y="85723"/>
          <a:ext cx="479087" cy="3869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23</xdr:col>
      <xdr:colOff>247649</xdr:colOff>
      <xdr:row>17</xdr:row>
      <xdr:rowOff>28575</xdr:rowOff>
    </xdr:from>
    <xdr:to>
      <xdr:col>26</xdr:col>
      <xdr:colOff>390525</xdr:colOff>
      <xdr:row>18</xdr:row>
      <xdr:rowOff>171450</xdr:rowOff>
    </xdr:to>
    <xdr:sp macro="" textlink="">
      <xdr:nvSpPr>
        <xdr:cNvPr id="2" name="Légende : encadrée 1">
          <a:extLst>
            <a:ext uri="{FF2B5EF4-FFF2-40B4-BE49-F238E27FC236}">
              <a16:creationId xmlns:a16="http://schemas.microsoft.com/office/drawing/2014/main" id="{00000000-0008-0000-0600-000002000000}"/>
            </a:ext>
          </a:extLst>
        </xdr:cNvPr>
        <xdr:cNvSpPr/>
      </xdr:nvSpPr>
      <xdr:spPr>
        <a:xfrm>
          <a:off x="15396209" y="3055620"/>
          <a:ext cx="2484121" cy="541020"/>
        </a:xfrm>
        <a:prstGeom prst="borderCallout1">
          <a:avLst>
            <a:gd name="adj1" fmla="val 52817"/>
            <a:gd name="adj2" fmla="val 8"/>
            <a:gd name="adj3" fmla="val 68419"/>
            <a:gd name="adj4" fmla="val -10482"/>
          </a:avLst>
        </a:prstGeom>
        <a:solidFill>
          <a:schemeClr val="accent4">
            <a:lumMod val="20000"/>
            <a:lumOff val="80000"/>
          </a:schemeClr>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BE" sz="1000" b="1" u="sng">
              <a:solidFill>
                <a:sysClr val="windowText" lastClr="000000"/>
              </a:solidFill>
              <a:latin typeface="Arial" panose="020B0604020202020204" pitchFamily="34" charset="0"/>
              <a:cs typeface="Arial" panose="020B0604020202020204" pitchFamily="34" charset="0"/>
            </a:rPr>
            <a:t>€/kg MS</a:t>
          </a:r>
          <a:r>
            <a:rPr lang="fr-BE" sz="1000" b="1" u="sng"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a:t>
          </a:r>
          <a:r>
            <a:rPr lang="fr-BE" sz="1000">
              <a:solidFill>
                <a:sysClr val="windowText" lastClr="000000"/>
              </a:solidFill>
              <a:latin typeface="Arial" panose="020B0604020202020204" pitchFamily="34" charset="0"/>
              <a:cs typeface="Arial" panose="020B0604020202020204" pitchFamily="34" charset="0"/>
            </a:rPr>
            <a:t>our les fourrages,</a:t>
          </a:r>
          <a:r>
            <a:rPr lang="fr-BE" sz="1000" baseline="0">
              <a:solidFill>
                <a:sysClr val="windowText" lastClr="000000"/>
              </a:solidFill>
              <a:latin typeface="Arial" panose="020B0604020202020204" pitchFamily="34" charset="0"/>
              <a:cs typeface="Arial" panose="020B0604020202020204" pitchFamily="34" charset="0"/>
            </a:rPr>
            <a:t> coproduits, racines et tubercules.                                               </a:t>
          </a:r>
          <a:r>
            <a:rPr lang="fr-BE" sz="1000" b="1" u="sng" baseline="0">
              <a:solidFill>
                <a:sysClr val="windowText" lastClr="000000"/>
              </a:solidFill>
              <a:latin typeface="Arial" panose="020B0604020202020204" pitchFamily="34" charset="0"/>
              <a:cs typeface="Arial" panose="020B0604020202020204" pitchFamily="34" charset="0"/>
            </a:rPr>
            <a:t>€/kg brut</a:t>
          </a:r>
          <a:r>
            <a:rPr lang="fr-BE" sz="1000" b="1" u="none"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pour les concentrés secs. </a:t>
          </a:r>
          <a:endParaRPr lang="fr-BE"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18</xdr:col>
      <xdr:colOff>631340</xdr:colOff>
      <xdr:row>3</xdr:row>
      <xdr:rowOff>0</xdr:rowOff>
    </xdr:from>
    <xdr:to>
      <xdr:col>22</xdr:col>
      <xdr:colOff>550545</xdr:colOff>
      <xdr:row>15</xdr:row>
      <xdr:rowOff>131445</xdr:rowOff>
    </xdr:to>
    <xdr:graphicFrame macro="">
      <xdr:nvGraphicFramePr>
        <xdr:cNvPr id="3" name="Graphique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169546</xdr:colOff>
      <xdr:row>3</xdr:row>
      <xdr:rowOff>0</xdr:rowOff>
    </xdr:from>
    <xdr:to>
      <xdr:col>19</xdr:col>
      <xdr:colOff>74543</xdr:colOff>
      <xdr:row>15</xdr:row>
      <xdr:rowOff>131446</xdr:rowOff>
    </xdr:to>
    <xdr:graphicFrame macro="">
      <xdr:nvGraphicFramePr>
        <xdr:cNvPr id="4" name="Graphique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19050</xdr:colOff>
      <xdr:row>0</xdr:row>
      <xdr:rowOff>52180</xdr:rowOff>
    </xdr:from>
    <xdr:to>
      <xdr:col>0</xdr:col>
      <xdr:colOff>1508759</xdr:colOff>
      <xdr:row>2</xdr:row>
      <xdr:rowOff>17597</xdr:rowOff>
    </xdr:to>
    <xdr:pic>
      <xdr:nvPicPr>
        <xdr:cNvPr id="2" name="Imag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5240" y="55990"/>
          <a:ext cx="1489709" cy="451192"/>
        </a:xfrm>
        <a:prstGeom prst="rect">
          <a:avLst/>
        </a:prstGeom>
      </xdr:spPr>
    </xdr:pic>
    <xdr:clientData/>
  </xdr:twoCellAnchor>
  <xdr:twoCellAnchor>
    <xdr:from>
      <xdr:col>5</xdr:col>
      <xdr:colOff>66675</xdr:colOff>
      <xdr:row>10</xdr:row>
      <xdr:rowOff>11430</xdr:rowOff>
    </xdr:from>
    <xdr:to>
      <xdr:col>8</xdr:col>
      <xdr:colOff>1</xdr:colOff>
      <xdr:row>22</xdr:row>
      <xdr:rowOff>152400</xdr:rowOff>
    </xdr:to>
    <xdr:graphicFrame macro="">
      <xdr:nvGraphicFramePr>
        <xdr:cNvPr id="14" name="Graphique 13">
          <a:extLst>
            <a:ext uri="{FF2B5EF4-FFF2-40B4-BE49-F238E27FC236}">
              <a16:creationId xmlns:a16="http://schemas.microsoft.com/office/drawing/2014/main" id="{00000000-0008-0000-07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476250</xdr:colOff>
      <xdr:row>10</xdr:row>
      <xdr:rowOff>19050</xdr:rowOff>
    </xdr:from>
    <xdr:to>
      <xdr:col>5</xdr:col>
      <xdr:colOff>57150</xdr:colOff>
      <xdr:row>22</xdr:row>
      <xdr:rowOff>152400</xdr:rowOff>
    </xdr:to>
    <xdr:graphicFrame macro="">
      <xdr:nvGraphicFramePr>
        <xdr:cNvPr id="15" name="Graphique 14">
          <a:extLst>
            <a:ext uri="{FF2B5EF4-FFF2-40B4-BE49-F238E27FC236}">
              <a16:creationId xmlns:a16="http://schemas.microsoft.com/office/drawing/2014/main" id="{00000000-0008-0000-07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221487</xdr:colOff>
      <xdr:row>0</xdr:row>
      <xdr:rowOff>62865</xdr:rowOff>
    </xdr:from>
    <xdr:to>
      <xdr:col>2</xdr:col>
      <xdr:colOff>41531</xdr:colOff>
      <xdr:row>1</xdr:row>
      <xdr:rowOff>282164</xdr:rowOff>
    </xdr:to>
    <xdr:pic>
      <xdr:nvPicPr>
        <xdr:cNvPr id="17" name="Image 16" descr="Logos à télécharger – TourismeWallonie">
          <a:extLst>
            <a:ext uri="{FF2B5EF4-FFF2-40B4-BE49-F238E27FC236}">
              <a16:creationId xmlns:a16="http://schemas.microsoft.com/office/drawing/2014/main" id="{4ED9D9C1-E2AD-4751-AFB7-C4DF9DA78A0A}"/>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t="11795" b="9219"/>
        <a:stretch/>
      </xdr:blipFill>
      <xdr:spPr bwMode="auto">
        <a:xfrm>
          <a:off x="2164587" y="62865"/>
          <a:ext cx="515369" cy="400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1647825</xdr:colOff>
      <xdr:row>0</xdr:row>
      <xdr:rowOff>80008</xdr:rowOff>
    </xdr:from>
    <xdr:to>
      <xdr:col>1</xdr:col>
      <xdr:colOff>180002</xdr:colOff>
      <xdr:row>1</xdr:row>
      <xdr:rowOff>282162</xdr:rowOff>
    </xdr:to>
    <xdr:pic>
      <xdr:nvPicPr>
        <xdr:cNvPr id="18" name="Image 17" descr="Terraé, vers des systèmes agroécologiques | Réseau wallon PAC">
          <a:extLst>
            <a:ext uri="{FF2B5EF4-FFF2-40B4-BE49-F238E27FC236}">
              <a16:creationId xmlns:a16="http://schemas.microsoft.com/office/drawing/2014/main" id="{8425B649-5F4A-475B-9B24-DAAB0622C442}"/>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647825" y="80008"/>
          <a:ext cx="475277" cy="3831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23</xdr:col>
      <xdr:colOff>257174</xdr:colOff>
      <xdr:row>16</xdr:row>
      <xdr:rowOff>247650</xdr:rowOff>
    </xdr:from>
    <xdr:to>
      <xdr:col>26</xdr:col>
      <xdr:colOff>533400</xdr:colOff>
      <xdr:row>19</xdr:row>
      <xdr:rowOff>9525</xdr:rowOff>
    </xdr:to>
    <xdr:sp macro="" textlink="">
      <xdr:nvSpPr>
        <xdr:cNvPr id="2" name="Légende : encadrée 1">
          <a:extLst>
            <a:ext uri="{FF2B5EF4-FFF2-40B4-BE49-F238E27FC236}">
              <a16:creationId xmlns:a16="http://schemas.microsoft.com/office/drawing/2014/main" id="{00000000-0008-0000-0800-000002000000}"/>
            </a:ext>
          </a:extLst>
        </xdr:cNvPr>
        <xdr:cNvSpPr/>
      </xdr:nvSpPr>
      <xdr:spPr>
        <a:xfrm>
          <a:off x="15078074" y="3019425"/>
          <a:ext cx="2562226" cy="542925"/>
        </a:xfrm>
        <a:prstGeom prst="borderCallout1">
          <a:avLst>
            <a:gd name="adj1" fmla="val 52817"/>
            <a:gd name="adj2" fmla="val 8"/>
            <a:gd name="adj3" fmla="val 68419"/>
            <a:gd name="adj4" fmla="val -10482"/>
          </a:avLst>
        </a:prstGeom>
        <a:solidFill>
          <a:schemeClr val="accent4">
            <a:lumMod val="20000"/>
            <a:lumOff val="80000"/>
          </a:schemeClr>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BE" sz="1000" b="1" u="sng">
              <a:solidFill>
                <a:sysClr val="windowText" lastClr="000000"/>
              </a:solidFill>
              <a:latin typeface="Arial" panose="020B0604020202020204" pitchFamily="34" charset="0"/>
              <a:cs typeface="Arial" panose="020B0604020202020204" pitchFamily="34" charset="0"/>
            </a:rPr>
            <a:t>€/kg MS</a:t>
          </a:r>
          <a:r>
            <a:rPr lang="fr-BE" sz="1000" b="1" u="sng"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a:t>
          </a:r>
          <a:r>
            <a:rPr lang="fr-BE" sz="1000">
              <a:solidFill>
                <a:sysClr val="windowText" lastClr="000000"/>
              </a:solidFill>
              <a:latin typeface="Arial" panose="020B0604020202020204" pitchFamily="34" charset="0"/>
              <a:cs typeface="Arial" panose="020B0604020202020204" pitchFamily="34" charset="0"/>
            </a:rPr>
            <a:t>our les fourrages,</a:t>
          </a:r>
          <a:r>
            <a:rPr lang="fr-BE" sz="1000" baseline="0">
              <a:solidFill>
                <a:sysClr val="windowText" lastClr="000000"/>
              </a:solidFill>
              <a:latin typeface="Arial" panose="020B0604020202020204" pitchFamily="34" charset="0"/>
              <a:cs typeface="Arial" panose="020B0604020202020204" pitchFamily="34" charset="0"/>
            </a:rPr>
            <a:t> coproduits, racines et tubercules.                                               </a:t>
          </a:r>
          <a:r>
            <a:rPr lang="fr-BE" sz="1000" b="1" u="sng" baseline="0">
              <a:solidFill>
                <a:sysClr val="windowText" lastClr="000000"/>
              </a:solidFill>
              <a:latin typeface="Arial" panose="020B0604020202020204" pitchFamily="34" charset="0"/>
              <a:cs typeface="Arial" panose="020B0604020202020204" pitchFamily="34" charset="0"/>
            </a:rPr>
            <a:t>€/kg brut</a:t>
          </a:r>
          <a:r>
            <a:rPr lang="fr-BE" sz="1000" b="1" u="none" baseline="0">
              <a:solidFill>
                <a:sysClr val="windowText" lastClr="000000"/>
              </a:solidFill>
              <a:latin typeface="Arial" panose="020B0604020202020204" pitchFamily="34" charset="0"/>
              <a:cs typeface="Arial" panose="020B0604020202020204" pitchFamily="34" charset="0"/>
            </a:rPr>
            <a:t> </a:t>
          </a:r>
          <a:r>
            <a:rPr lang="fr-BE" sz="1000" baseline="0">
              <a:solidFill>
                <a:sysClr val="windowText" lastClr="000000"/>
              </a:solidFill>
              <a:latin typeface="Arial" panose="020B0604020202020204" pitchFamily="34" charset="0"/>
              <a:cs typeface="Arial" panose="020B0604020202020204" pitchFamily="34" charset="0"/>
            </a:rPr>
            <a:t>pour les concentrés secs. </a:t>
          </a:r>
          <a:endParaRPr lang="fr-BE"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16</xdr:col>
      <xdr:colOff>209550</xdr:colOff>
      <xdr:row>3</xdr:row>
      <xdr:rowOff>66675</xdr:rowOff>
    </xdr:from>
    <xdr:to>
      <xdr:col>18</xdr:col>
      <xdr:colOff>689339</xdr:colOff>
      <xdr:row>15</xdr:row>
      <xdr:rowOff>26398</xdr:rowOff>
    </xdr:to>
    <xdr:graphicFrame macro="">
      <xdr:nvGraphicFramePr>
        <xdr:cNvPr id="3" name="Graphique 2">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504825</xdr:colOff>
      <xdr:row>3</xdr:row>
      <xdr:rowOff>55790</xdr:rowOff>
    </xdr:from>
    <xdr:to>
      <xdr:col>22</xdr:col>
      <xdr:colOff>130110</xdr:colOff>
      <xdr:row>15</xdr:row>
      <xdr:rowOff>13111</xdr:rowOff>
    </xdr:to>
    <xdr:graphicFrame macro="">
      <xdr:nvGraphicFramePr>
        <xdr:cNvPr id="4" name="Graphique 3">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19050</xdr:colOff>
      <xdr:row>0</xdr:row>
      <xdr:rowOff>52180</xdr:rowOff>
    </xdr:from>
    <xdr:to>
      <xdr:col>0</xdr:col>
      <xdr:colOff>1504949</xdr:colOff>
      <xdr:row>2</xdr:row>
      <xdr:rowOff>21407</xdr:rowOff>
    </xdr:to>
    <xdr:pic>
      <xdr:nvPicPr>
        <xdr:cNvPr id="2" name="Imag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19050" y="52180"/>
          <a:ext cx="1489709" cy="460717"/>
        </a:xfrm>
        <a:prstGeom prst="rect">
          <a:avLst/>
        </a:prstGeom>
      </xdr:spPr>
    </xdr:pic>
    <xdr:clientData/>
  </xdr:twoCellAnchor>
  <xdr:twoCellAnchor>
    <xdr:from>
      <xdr:col>5</xdr:col>
      <xdr:colOff>9525</xdr:colOff>
      <xdr:row>10</xdr:row>
      <xdr:rowOff>85724</xdr:rowOff>
    </xdr:from>
    <xdr:to>
      <xdr:col>8</xdr:col>
      <xdr:colOff>63435</xdr:colOff>
      <xdr:row>23</xdr:row>
      <xdr:rowOff>66675</xdr:rowOff>
    </xdr:to>
    <xdr:graphicFrame macro="">
      <xdr:nvGraphicFramePr>
        <xdr:cNvPr id="7" name="Graphique 6">
          <a:extLst>
            <a:ext uri="{FF2B5EF4-FFF2-40B4-BE49-F238E27FC236}">
              <a16:creationId xmlns:a16="http://schemas.microsoft.com/office/drawing/2014/main" id="{00000000-0008-0000-0A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457200</xdr:colOff>
      <xdr:row>10</xdr:row>
      <xdr:rowOff>76201</xdr:rowOff>
    </xdr:from>
    <xdr:to>
      <xdr:col>5</xdr:col>
      <xdr:colOff>171180</xdr:colOff>
      <xdr:row>23</xdr:row>
      <xdr:rowOff>60690</xdr:rowOff>
    </xdr:to>
    <xdr:graphicFrame macro="">
      <xdr:nvGraphicFramePr>
        <xdr:cNvPr id="4" name="Graphique 3">
          <a:extLst>
            <a:ext uri="{FF2B5EF4-FFF2-40B4-BE49-F238E27FC236}">
              <a16:creationId xmlns:a16="http://schemas.microsoft.com/office/drawing/2014/main" id="{00000000-0008-0000-0A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202437</xdr:colOff>
      <xdr:row>0</xdr:row>
      <xdr:rowOff>85725</xdr:rowOff>
    </xdr:from>
    <xdr:to>
      <xdr:col>2</xdr:col>
      <xdr:colOff>18671</xdr:colOff>
      <xdr:row>1</xdr:row>
      <xdr:rowOff>295499</xdr:rowOff>
    </xdr:to>
    <xdr:pic>
      <xdr:nvPicPr>
        <xdr:cNvPr id="10" name="Image 9" descr="Logos à télécharger – TourismeWallonie">
          <a:extLst>
            <a:ext uri="{FF2B5EF4-FFF2-40B4-BE49-F238E27FC236}">
              <a16:creationId xmlns:a16="http://schemas.microsoft.com/office/drawing/2014/main" id="{E3960E6C-0F5C-4B63-973F-0C975D7A18D4}"/>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t="11795" b="9219"/>
        <a:stretch/>
      </xdr:blipFill>
      <xdr:spPr bwMode="auto">
        <a:xfrm>
          <a:off x="2145537" y="85725"/>
          <a:ext cx="511559" cy="390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1628775</xdr:colOff>
      <xdr:row>0</xdr:row>
      <xdr:rowOff>99058</xdr:rowOff>
    </xdr:from>
    <xdr:to>
      <xdr:col>1</xdr:col>
      <xdr:colOff>160952</xdr:colOff>
      <xdr:row>1</xdr:row>
      <xdr:rowOff>295497</xdr:rowOff>
    </xdr:to>
    <xdr:pic>
      <xdr:nvPicPr>
        <xdr:cNvPr id="11" name="Image 10" descr="Terraé, vers des systèmes agroécologiques | Réseau wallon PAC">
          <a:extLst>
            <a:ext uri="{FF2B5EF4-FFF2-40B4-BE49-F238E27FC236}">
              <a16:creationId xmlns:a16="http://schemas.microsoft.com/office/drawing/2014/main" id="{D7D4755E-0F2B-4E9F-B69B-41C2C22431C7}"/>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628775" y="99058"/>
          <a:ext cx="475277" cy="3774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hyperlink" Target="https://www.feedtables.com/fr/content/table-as-fed-custom?feed_ti_id%5B%5D=12430&amp;feed_ti_id%5B%5D=12460&amp;feed_ti_id%5B%5D=12396&amp;feed_ti_id%5B%5D=12381&amp;feed_ti_id%5B%5D=12467&amp;feed_ti_id%5B%5D=12505&amp;feed_ti_id%5B%5D=12436&amp;feed_ti_id%5B%5D=12558&amp;feed_ti_id%5B%5D=12433&amp;feed_ti_id%5B%5D=12461&amp;feed_ti_id%5B%5D=12444&amp;feed_ti_id%5B%5D=12401&amp;feed_ti_id%5B%5D=12448&amp;feed_ti_id%5B%5D=12385&amp;feed_ti_id%5B%5D=12408&amp;feed_ti_id%5B%5D=12400&amp;feed_ti_id%5B%5D=12432&amp;feed_ti_id%5B%5D=12434&amp;feed_ti_id%5B%5D=12504&amp;feed_ti_id%5B%5D=12395&amp;feed_ti_id%5B%5D=12439&amp;feed_ti_id%5B%5D=12447&amp;feed_ti_id%5B%5D=12459&amp;feed_ti_id%5B%5D=12343&amp;feed_ti_id%5B%5D=12479&amp;feed_ti_id%5B%5D=12443&amp;feed_ti_id%5B%5D=12382&amp;feed_ti_id%5B%5D=12470&amp;feed_ti_id%5B%5D=12553&amp;feed_ti_id%5B%5D=12509&amp;feed_ti_id%5B%5D=12454&amp;feed_ti_id%5B%5D=12391&amp;feed_ti_id%5B%5D=12388&amp;feed_ti_id%5B%5D=12357&amp;feed_ti_id%5B%5D=12471&amp;feed_ti_id%5B%5D=12510&amp;feed_ti_id%5B%5D=12513&amp;feed_ti_id%5B%5D=12473&amp;feed_ti_id%5B%5D=12453&amp;feed_ti_id%5B%5D=12493&amp;feed_ti_id%5B%5D=12494&amp;feed_ti_id%5B%5D=12431&amp;feed_ti_id%5B%5D=12516&amp;feed_ti_id%5B%5D=12515&amp;feed_ti_id%5B%5D=12353&amp;feed_ti_id%5B%5D=12427&amp;feed_ti_id%5B%5D=12449&amp;feed_ti_id%5B%5D=142094&amp;parameter_ti_id%5B%5D=1442&amp;parameter_ti_id%5B%5D=1445&amp;parameter_ti_id%5B%5D=1449&amp;parameter_ti_id%5B%5D=1436&amp;parameter_ti_id%5B%5D=222093&amp;parameter_ti_id%5B%5D=1443&amp;parameter_ti_id%5B%5D=1434&amp;parameter_ti_id%5B%5D=1437&amp;parameter_ti_id%5B%5D=1441&amp;parameter_ti_id%5B%5D=222094&amp;parameter_ti_id%5B%5D=1552&amp;parameter_ti_id%5B%5D=1551&amp;parameter_ti_id%5B%5D=1450&amp;parameter_ti_id%5B%5D=1435&amp;parameter_ti_id%5B%5D=1446&amp;parameter_ti_id%5B%5D=5842&amp;parameter_ti_id%5B%5D=5845&amp;parameter_ti_id%5B%5D=222091&amp;parameter_ti_id%5B%5D=222092" TargetMode="External"/><Relationship Id="rId2" Type="http://schemas.openxmlformats.org/officeDocument/2006/relationships/hyperlink" Target="https://www.cvbdiervoeding.nl/bestand/10783/cvb-table-booklet-feeding-of-ruminants-2022.pdf.ashx" TargetMode="External"/><Relationship Id="rId1" Type="http://schemas.openxmlformats.org/officeDocument/2006/relationships/hyperlink" Target="http://www.civamad53.org/wp-content/uploads/2020/12/Tables-INRA.pdf"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stifkens@fourragesmieux.be"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s://www.cvbdiervoeding.nl/bestand/10783/cvb-table-booklet-feeding-of-ruminants-2022.pdf.ashx" TargetMode="External"/><Relationship Id="rId1" Type="http://schemas.openxmlformats.org/officeDocument/2006/relationships/hyperlink" Target="http://www.civamad53.org/wp-content/uploads/2020/12/Tables-INRA.pdf" TargetMode="External"/><Relationship Id="rId4"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feedtables.com/fr/content/table-as-fed-custom?feed_ti_id%5B%5D=12430&amp;feed_ti_id%5B%5D=12460&amp;feed_ti_id%5B%5D=12396&amp;feed_ti_id%5B%5D=12381&amp;feed_ti_id%5B%5D=12467&amp;feed_ti_id%5B%5D=12505&amp;feed_ti_id%5B%5D=12436&amp;feed_ti_id%5B%5D=12558&amp;feed_ti_id%5B%5D=12433&amp;feed_ti_id%5B%5D=12461&amp;feed_ti_id%5B%5D=12444&amp;feed_ti_id%5B%5D=12401&amp;feed_ti_id%5B%5D=12448&amp;feed_ti_id%5B%5D=12385&amp;feed_ti_id%5B%5D=12408&amp;feed_ti_id%5B%5D=12400&amp;feed_ti_id%5B%5D=12432&amp;feed_ti_id%5B%5D=12434&amp;feed_ti_id%5B%5D=12504&amp;feed_ti_id%5B%5D=12395&amp;feed_ti_id%5B%5D=12439&amp;feed_ti_id%5B%5D=12447&amp;feed_ti_id%5B%5D=12459&amp;feed_ti_id%5B%5D=12343&amp;feed_ti_id%5B%5D=12479&amp;feed_ti_id%5B%5D=12443&amp;feed_ti_id%5B%5D=12382&amp;feed_ti_id%5B%5D=12470&amp;feed_ti_id%5B%5D=12553&amp;feed_ti_id%5B%5D=12509&amp;feed_ti_id%5B%5D=12454&amp;feed_ti_id%5B%5D=12391&amp;feed_ti_id%5B%5D=12388&amp;feed_ti_id%5B%5D=12357&amp;feed_ti_id%5B%5D=12471&amp;feed_ti_id%5B%5D=12510&amp;feed_ti_id%5B%5D=12513&amp;feed_ti_id%5B%5D=12473&amp;feed_ti_id%5B%5D=12453&amp;feed_ti_id%5B%5D=12493&amp;feed_ti_id%5B%5D=12494&amp;feed_ti_id%5B%5D=12431&amp;feed_ti_id%5B%5D=12516&amp;feed_ti_id%5B%5D=12515&amp;feed_ti_id%5B%5D=12353&amp;feed_ti_id%5B%5D=12427&amp;feed_ti_id%5B%5D=12449&amp;feed_ti_id%5B%5D=142094&amp;parameter_ti_id%5B%5D=1442&amp;parameter_ti_id%5B%5D=1445&amp;parameter_ti_id%5B%5D=1449&amp;parameter_ti_id%5B%5D=1436&amp;parameter_ti_id%5B%5D=222093&amp;parameter_ti_id%5B%5D=1443&amp;parameter_ti_id%5B%5D=1434&amp;parameter_ti_id%5B%5D=1437&amp;parameter_ti_id%5B%5D=1441&amp;parameter_ti_id%5B%5D=222094&amp;parameter_ti_id%5B%5D=1552&amp;parameter_ti_id%5B%5D=1551&amp;parameter_ti_id%5B%5D=1450&amp;parameter_ti_id%5B%5D=1435&amp;parameter_ti_id%5B%5D=1446&amp;parameter_ti_id%5B%5D=5842&amp;parameter_ti_id%5B%5D=5845&amp;parameter_ti_id%5B%5D=222091&amp;parameter_ti_id%5B%5D=222092"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54A0D-83FC-4360-8FC7-88D516AA29BD}">
  <sheetPr codeName="Feuil1">
    <tabColor theme="0" tint="-0.249977111117893"/>
  </sheetPr>
  <dimension ref="B5:U40"/>
  <sheetViews>
    <sheetView showGridLines="0" tabSelected="1" workbookViewId="0">
      <selection activeCell="G45" sqref="G45"/>
    </sheetView>
  </sheetViews>
  <sheetFormatPr baseColWidth="10" defaultColWidth="11.44140625" defaultRowHeight="14.4"/>
  <cols>
    <col min="1" max="1" width="2.5546875" customWidth="1"/>
    <col min="2" max="2" width="3.6640625" customWidth="1"/>
    <col min="3" max="3" width="17.6640625" bestFit="1" customWidth="1"/>
  </cols>
  <sheetData>
    <row r="5" spans="2:7">
      <c r="B5" t="s">
        <v>0</v>
      </c>
    </row>
    <row r="7" spans="2:7" ht="14.4" customHeight="1">
      <c r="B7" s="764" t="s">
        <v>1</v>
      </c>
      <c r="C7" s="765"/>
      <c r="D7" s="604" t="s">
        <v>2</v>
      </c>
      <c r="E7" s="64" t="s">
        <v>3</v>
      </c>
      <c r="F7" s="64"/>
      <c r="G7" s="65"/>
    </row>
    <row r="8" spans="2:7">
      <c r="B8" s="766"/>
      <c r="C8" s="767"/>
      <c r="D8" s="607" t="s">
        <v>4</v>
      </c>
      <c r="E8" t="s">
        <v>5</v>
      </c>
      <c r="G8" s="66"/>
    </row>
    <row r="9" spans="2:7">
      <c r="B9" s="766"/>
      <c r="C9" s="767"/>
      <c r="D9" s="606" t="s">
        <v>6</v>
      </c>
      <c r="E9" s="41" t="s">
        <v>7</v>
      </c>
      <c r="F9" s="41"/>
      <c r="G9" s="55"/>
    </row>
    <row r="10" spans="2:7" ht="14.4" customHeight="1">
      <c r="B10" s="764" t="s">
        <v>8</v>
      </c>
      <c r="C10" s="765"/>
      <c r="D10" s="608" t="s">
        <v>9</v>
      </c>
      <c r="E10" t="s">
        <v>10</v>
      </c>
      <c r="G10" s="66"/>
    </row>
    <row r="11" spans="2:7">
      <c r="B11" s="766"/>
      <c r="C11" s="767"/>
      <c r="D11" s="609" t="s">
        <v>11</v>
      </c>
      <c r="E11" t="s">
        <v>12</v>
      </c>
      <c r="G11" s="66"/>
    </row>
    <row r="12" spans="2:7">
      <c r="B12" s="766"/>
      <c r="C12" s="767"/>
      <c r="D12" s="610" t="s">
        <v>13</v>
      </c>
      <c r="E12" t="s">
        <v>14</v>
      </c>
      <c r="G12" s="66"/>
    </row>
    <row r="13" spans="2:7">
      <c r="B13" s="768"/>
      <c r="C13" s="769"/>
      <c r="D13" s="605" t="s">
        <v>15</v>
      </c>
      <c r="E13" s="41" t="s">
        <v>16</v>
      </c>
      <c r="F13" s="41"/>
      <c r="G13" s="55"/>
    </row>
    <row r="14" spans="2:7">
      <c r="B14" s="772" t="s">
        <v>17</v>
      </c>
      <c r="C14" s="773"/>
      <c r="D14" s="741" t="s">
        <v>18</v>
      </c>
      <c r="E14" s="742" t="s">
        <v>19</v>
      </c>
      <c r="F14" s="742"/>
      <c r="G14" s="743"/>
    </row>
    <row r="16" spans="2:7">
      <c r="B16" t="s">
        <v>20</v>
      </c>
    </row>
    <row r="18" spans="2:21" ht="20.100000000000001" customHeight="1">
      <c r="B18" s="750" t="s">
        <v>21</v>
      </c>
      <c r="C18" s="744"/>
      <c r="D18" s="744"/>
      <c r="E18" s="744"/>
      <c r="F18" s="744"/>
      <c r="G18" s="744"/>
      <c r="H18" s="744"/>
      <c r="I18" s="744"/>
      <c r="J18" s="744"/>
      <c r="K18" s="744"/>
      <c r="L18" s="744"/>
      <c r="M18" s="744"/>
      <c r="N18" s="744"/>
      <c r="O18" s="744"/>
      <c r="P18" s="744"/>
      <c r="Q18" s="744"/>
      <c r="R18" s="744"/>
      <c r="S18" s="744"/>
      <c r="T18" s="744"/>
      <c r="U18" s="744"/>
    </row>
    <row r="19" spans="2:21" s="105" customFormat="1" ht="24.9" customHeight="1">
      <c r="B19" s="745">
        <v>1</v>
      </c>
      <c r="C19" s="746" t="s">
        <v>22</v>
      </c>
      <c r="D19" s="746"/>
      <c r="E19" s="746"/>
      <c r="F19" s="746"/>
      <c r="G19" s="746"/>
      <c r="H19" s="746"/>
      <c r="I19" s="746"/>
      <c r="J19" s="746"/>
      <c r="K19" s="746"/>
      <c r="L19" s="746"/>
      <c r="M19" s="746"/>
      <c r="N19" s="746"/>
      <c r="O19" s="746"/>
      <c r="P19" s="746"/>
      <c r="Q19" s="746"/>
      <c r="R19" s="747"/>
      <c r="S19" s="746"/>
      <c r="T19" s="746"/>
      <c r="U19" s="746"/>
    </row>
    <row r="20" spans="2:21" s="105" customFormat="1" ht="24.9" customHeight="1">
      <c r="B20" s="745">
        <v>2</v>
      </c>
      <c r="C20" s="746" t="s">
        <v>23</v>
      </c>
      <c r="D20" s="746"/>
      <c r="E20" s="746"/>
      <c r="F20" s="746"/>
      <c r="G20" s="746"/>
      <c r="H20" s="746"/>
      <c r="I20" s="746"/>
      <c r="J20" s="746"/>
      <c r="K20" s="746"/>
      <c r="L20" s="746"/>
      <c r="M20" s="746"/>
      <c r="N20" s="746"/>
      <c r="O20" s="746"/>
      <c r="P20" s="746"/>
      <c r="Q20" s="746"/>
      <c r="R20" s="746"/>
      <c r="S20" s="746"/>
      <c r="T20" s="746"/>
      <c r="U20" s="746"/>
    </row>
    <row r="21" spans="2:21" s="105" customFormat="1" ht="24.9" customHeight="1">
      <c r="B21" s="745">
        <v>3</v>
      </c>
      <c r="C21" s="746" t="s">
        <v>24</v>
      </c>
      <c r="D21" s="746"/>
      <c r="E21" s="746"/>
      <c r="F21" s="746"/>
      <c r="G21" s="746"/>
      <c r="H21" s="746"/>
      <c r="I21" s="746"/>
      <c r="J21" s="746"/>
      <c r="K21" s="746"/>
      <c r="L21" s="746"/>
      <c r="M21" s="746"/>
      <c r="N21" s="746"/>
      <c r="O21" s="746"/>
      <c r="P21" s="746"/>
      <c r="Q21" s="746"/>
      <c r="R21" s="746"/>
      <c r="S21" s="746"/>
      <c r="T21" s="746"/>
      <c r="U21" s="746"/>
    </row>
    <row r="22" spans="2:21" s="105" customFormat="1" ht="24.9" customHeight="1">
      <c r="B22" s="745">
        <v>4</v>
      </c>
      <c r="C22" s="746" t="s">
        <v>25</v>
      </c>
      <c r="D22" s="746"/>
      <c r="E22" s="746"/>
      <c r="F22" s="746"/>
      <c r="G22" s="746"/>
      <c r="H22" s="746"/>
      <c r="I22" s="746"/>
      <c r="J22" s="746"/>
      <c r="K22" s="746"/>
      <c r="L22" s="746"/>
      <c r="M22" s="746"/>
      <c r="N22" s="746"/>
      <c r="O22" s="746"/>
      <c r="P22" s="746"/>
      <c r="Q22" s="746"/>
      <c r="R22" s="746"/>
      <c r="S22" s="746"/>
      <c r="T22" s="746"/>
      <c r="U22" s="746"/>
    </row>
    <row r="23" spans="2:21" s="105" customFormat="1" ht="24.9" customHeight="1">
      <c r="B23" s="745">
        <v>5</v>
      </c>
      <c r="C23" s="746" t="s">
        <v>26</v>
      </c>
      <c r="D23" s="746"/>
      <c r="E23" s="746"/>
      <c r="F23" s="746"/>
      <c r="G23" s="746"/>
      <c r="H23" s="746"/>
      <c r="I23" s="746"/>
      <c r="J23" s="746"/>
      <c r="K23" s="746"/>
      <c r="L23" s="746"/>
      <c r="M23" s="746"/>
      <c r="N23" s="746"/>
      <c r="O23" s="746"/>
      <c r="P23" s="746"/>
      <c r="Q23" s="746"/>
      <c r="R23" s="746"/>
      <c r="S23" s="746"/>
      <c r="T23" s="746"/>
      <c r="U23" s="746"/>
    </row>
    <row r="24" spans="2:21" s="105" customFormat="1" ht="24.9" customHeight="1">
      <c r="B24" s="745">
        <v>6</v>
      </c>
      <c r="C24" s="746" t="s">
        <v>27</v>
      </c>
      <c r="D24" s="746"/>
      <c r="E24" s="746"/>
      <c r="F24" s="746"/>
      <c r="G24" s="746"/>
      <c r="H24" s="746"/>
      <c r="I24" s="746"/>
      <c r="J24" s="746"/>
      <c r="K24" s="746"/>
      <c r="L24" s="746"/>
      <c r="M24" s="746"/>
      <c r="N24" s="746"/>
      <c r="O24" s="746"/>
      <c r="P24" s="746"/>
      <c r="Q24" s="746"/>
      <c r="R24" s="746"/>
      <c r="S24" s="746"/>
      <c r="T24" s="746"/>
      <c r="U24" s="746"/>
    </row>
    <row r="26" spans="2:21" ht="15.6">
      <c r="B26" s="748" t="s">
        <v>28</v>
      </c>
    </row>
    <row r="27" spans="2:21" ht="14.4" customHeight="1">
      <c r="B27" s="771" t="s">
        <v>29</v>
      </c>
      <c r="C27" s="771"/>
      <c r="D27" s="771"/>
      <c r="E27" s="771"/>
      <c r="F27" s="771"/>
      <c r="G27" s="771"/>
      <c r="H27" s="771"/>
      <c r="I27" s="771"/>
      <c r="J27" s="771"/>
      <c r="K27" s="771"/>
      <c r="L27" s="771"/>
      <c r="M27" s="771"/>
      <c r="N27" s="771"/>
      <c r="O27" s="771"/>
      <c r="P27" s="771"/>
      <c r="Q27" s="771"/>
      <c r="R27" s="771"/>
      <c r="S27" s="771"/>
      <c r="T27" s="771"/>
    </row>
    <row r="28" spans="2:21">
      <c r="B28" s="771"/>
      <c r="C28" s="771"/>
      <c r="D28" s="771"/>
      <c r="E28" s="771"/>
      <c r="F28" s="771"/>
      <c r="G28" s="771"/>
      <c r="H28" s="771"/>
      <c r="I28" s="771"/>
      <c r="J28" s="771"/>
      <c r="K28" s="771"/>
      <c r="L28" s="771"/>
      <c r="M28" s="771"/>
      <c r="N28" s="771"/>
      <c r="O28" s="771"/>
      <c r="P28" s="771"/>
      <c r="Q28" s="771"/>
      <c r="R28" s="771"/>
      <c r="S28" s="771"/>
      <c r="T28" s="771"/>
    </row>
    <row r="29" spans="2:21">
      <c r="B29" s="771"/>
      <c r="C29" s="771"/>
      <c r="D29" s="771"/>
      <c r="E29" s="771"/>
      <c r="F29" s="771"/>
      <c r="G29" s="771"/>
      <c r="H29" s="771"/>
      <c r="I29" s="771"/>
      <c r="J29" s="771"/>
      <c r="K29" s="771"/>
      <c r="L29" s="771"/>
      <c r="M29" s="771"/>
      <c r="N29" s="771"/>
      <c r="O29" s="771"/>
      <c r="P29" s="771"/>
      <c r="Q29" s="771"/>
      <c r="R29" s="771"/>
      <c r="S29" s="771"/>
      <c r="T29" s="771"/>
    </row>
    <row r="30" spans="2:21" ht="26.4" customHeight="1">
      <c r="B30" s="771"/>
      <c r="C30" s="771"/>
      <c r="D30" s="771"/>
      <c r="E30" s="771"/>
      <c r="F30" s="771"/>
      <c r="G30" s="771"/>
      <c r="H30" s="771"/>
      <c r="I30" s="771"/>
      <c r="J30" s="771"/>
      <c r="K30" s="771"/>
      <c r="L30" s="771"/>
      <c r="M30" s="771"/>
      <c r="N30" s="771"/>
      <c r="O30" s="771"/>
      <c r="P30" s="771"/>
      <c r="Q30" s="771"/>
      <c r="R30" s="771"/>
      <c r="S30" s="771"/>
      <c r="T30" s="771"/>
    </row>
    <row r="31" spans="2:21" ht="15.6">
      <c r="B31" s="749" t="s">
        <v>30</v>
      </c>
    </row>
    <row r="32" spans="2:21">
      <c r="B32" s="770" t="s">
        <v>31</v>
      </c>
      <c r="C32" s="770"/>
      <c r="D32" s="770"/>
    </row>
    <row r="33" spans="2:4">
      <c r="B33" s="770" t="s">
        <v>32</v>
      </c>
      <c r="C33" s="770"/>
      <c r="D33" s="770"/>
    </row>
    <row r="34" spans="2:4">
      <c r="B34" s="106" t="s">
        <v>33</v>
      </c>
    </row>
    <row r="35" spans="2:4">
      <c r="B35" t="s">
        <v>34</v>
      </c>
    </row>
    <row r="37" spans="2:4" ht="15.6">
      <c r="B37" s="749" t="s">
        <v>440</v>
      </c>
    </row>
    <row r="38" spans="2:4">
      <c r="B38" t="s">
        <v>441</v>
      </c>
    </row>
    <row r="39" spans="2:4">
      <c r="B39" s="763" t="s">
        <v>224</v>
      </c>
    </row>
    <row r="40" spans="2:4">
      <c r="B40" s="762" t="s">
        <v>442</v>
      </c>
    </row>
  </sheetData>
  <sheetProtection algorithmName="SHA-512" hashValue="Fl6RgcZ28MonV4W042j1g+6UEIE4sSp/r/O4dwKaCRmAB8nb4LiiQyDClPqJn8wUKV6f2TM5uLSBfdk6b93BZw==" saltValue="3zqkluZV/UTSthGN48/Uew==" spinCount="100000" sheet="1" objects="1" selectLockedCells="1" selectUnlockedCells="1"/>
  <mergeCells count="6">
    <mergeCell ref="B7:C9"/>
    <mergeCell ref="B10:C13"/>
    <mergeCell ref="B33:D33"/>
    <mergeCell ref="B27:T30"/>
    <mergeCell ref="B32:D32"/>
    <mergeCell ref="B14:C14"/>
  </mergeCells>
  <conditionalFormatting sqref="B19:B24">
    <cfRule type="colorScale" priority="1">
      <colorScale>
        <cfvo type="min"/>
        <cfvo type="max"/>
        <color rgb="FF007F47"/>
        <color rgb="FFFFB613"/>
      </colorScale>
    </cfRule>
  </conditionalFormatting>
  <hyperlinks>
    <hyperlink ref="B33" r:id="rId1" xr:uid="{1AA73F85-6795-4014-B1F1-6D17220B0EBD}"/>
    <hyperlink ref="B32" r:id="rId2" xr:uid="{A8B879D6-84E1-4957-B183-446CD05E0D2D}"/>
    <hyperlink ref="B34" r:id="rId3" xr:uid="{AC28997D-05F6-4FA7-9CF7-4A86D6FF282F}"/>
    <hyperlink ref="B40" r:id="rId4" xr:uid="{D3E641DA-8E2A-418A-87DF-DDB7BF26C47D}"/>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7B2B8-63B5-464D-A763-8AF5EAE4F198}">
  <sheetPr codeName="Feuil11">
    <tabColor rgb="FFFF9900"/>
  </sheetPr>
  <dimension ref="A2:H59"/>
  <sheetViews>
    <sheetView showGridLines="0" zoomScaleNormal="100" zoomScaleSheetLayoutView="145" workbookViewId="0">
      <selection activeCell="C2" sqref="C2"/>
    </sheetView>
  </sheetViews>
  <sheetFormatPr baseColWidth="10" defaultColWidth="11.44140625" defaultRowHeight="14.4"/>
  <cols>
    <col min="1" max="1" width="28.33203125" customWidth="1"/>
    <col min="2" max="2" width="10.109375" customWidth="1"/>
    <col min="3" max="3" width="9.109375" customWidth="1"/>
    <col min="4" max="4" width="8.6640625" customWidth="1"/>
    <col min="5" max="5" width="11.44140625" customWidth="1"/>
    <col min="6" max="6" width="6.109375" customWidth="1"/>
    <col min="7" max="7" width="12" customWidth="1"/>
    <col min="8" max="8" width="12.6640625" customWidth="1"/>
  </cols>
  <sheetData>
    <row r="2" spans="1:8" ht="24" customHeight="1">
      <c r="F2" s="40"/>
      <c r="G2" s="786">
        <f ca="1">TODAY()</f>
        <v>45922</v>
      </c>
      <c r="H2" s="786"/>
    </row>
    <row r="3" spans="1:8" s="32" customFormat="1" ht="12" customHeight="1">
      <c r="A3" s="19" t="s">
        <v>224</v>
      </c>
      <c r="B3" s="42"/>
      <c r="C3" s="42"/>
      <c r="G3" s="77"/>
    </row>
    <row r="4" spans="1:8" s="32" customFormat="1" ht="12" customHeight="1">
      <c r="A4" s="20" t="s">
        <v>225</v>
      </c>
      <c r="B4" s="42"/>
      <c r="C4" s="42"/>
    </row>
    <row r="5" spans="1:8" s="32" customFormat="1" ht="12" customHeight="1">
      <c r="A5" s="20" t="s">
        <v>226</v>
      </c>
      <c r="B5" s="42"/>
      <c r="C5" s="42"/>
    </row>
    <row r="6" spans="1:8" s="32" customFormat="1" ht="12" customHeight="1">
      <c r="A6" s="42" t="str">
        <f>_xlfn.CONCAT("Ration établie par : ",'   TA   '!C5:G5)</f>
        <v xml:space="preserve">Ration établie par : </v>
      </c>
      <c r="B6" s="42"/>
      <c r="C6" s="42"/>
    </row>
    <row r="7" spans="1:8" ht="5.25" customHeight="1"/>
    <row r="8" spans="1:8" ht="23.4">
      <c r="A8" s="783" t="str">
        <f>_xlfn.CONCAT("RATION : ",'   TA   '!C3:G3," - ",'   TA   '!C4:G4)</f>
        <v xml:space="preserve">RATION :  - </v>
      </c>
      <c r="B8" s="784"/>
      <c r="C8" s="784"/>
      <c r="D8" s="784"/>
      <c r="E8" s="784"/>
      <c r="F8" s="784"/>
      <c r="G8" s="784"/>
      <c r="H8" s="785"/>
    </row>
    <row r="10" spans="1:8" ht="12.9" customHeight="1">
      <c r="A10" s="21" t="s">
        <v>227</v>
      </c>
      <c r="B10" s="22"/>
      <c r="C10" s="23"/>
      <c r="D10" s="21" t="s">
        <v>260</v>
      </c>
      <c r="E10" s="22"/>
      <c r="F10" s="22"/>
      <c r="G10" s="22"/>
      <c r="H10" s="31"/>
    </row>
    <row r="11" spans="1:8" ht="12.9" customHeight="1">
      <c r="A11" s="23" t="s">
        <v>284</v>
      </c>
      <c r="B11" s="24" t="str">
        <f>'   TA   '!D9</f>
        <v>BBB</v>
      </c>
      <c r="C11" s="23"/>
      <c r="D11" s="23"/>
      <c r="E11" s="23"/>
      <c r="F11" s="23"/>
      <c r="G11" s="23"/>
      <c r="H11" s="32"/>
    </row>
    <row r="12" spans="1:8" ht="12.9" customHeight="1">
      <c r="A12" s="23" t="s">
        <v>287</v>
      </c>
      <c r="B12" s="24" t="str">
        <f>'   TA   '!D10</f>
        <v>Tardif (Ci-)</v>
      </c>
      <c r="C12" s="23"/>
      <c r="D12" s="23"/>
      <c r="E12" s="23"/>
      <c r="F12" s="23"/>
      <c r="G12" s="23"/>
      <c r="H12" s="32"/>
    </row>
    <row r="13" spans="1:8" ht="12.9" customHeight="1">
      <c r="A13" s="23" t="s">
        <v>167</v>
      </c>
      <c r="B13" s="24">
        <f>'   TA   '!D11</f>
        <v>550</v>
      </c>
      <c r="C13" s="23"/>
      <c r="D13" s="23"/>
      <c r="E13" s="23"/>
      <c r="F13" s="23"/>
      <c r="G13" s="23"/>
      <c r="H13" s="32"/>
    </row>
    <row r="14" spans="1:8" ht="12.9" customHeight="1">
      <c r="A14" s="23" t="s">
        <v>288</v>
      </c>
      <c r="B14" s="24">
        <f>'   TA   '!D12</f>
        <v>1300</v>
      </c>
      <c r="C14" s="23"/>
      <c r="D14" s="23"/>
      <c r="E14" s="23"/>
      <c r="F14" s="23"/>
      <c r="G14" s="23"/>
      <c r="H14" s="32"/>
    </row>
    <row r="15" spans="1:8" ht="12.9" customHeight="1">
      <c r="A15" s="23"/>
      <c r="B15" s="24"/>
      <c r="C15" s="23"/>
      <c r="D15" s="23"/>
      <c r="E15" s="23"/>
      <c r="F15" s="23"/>
      <c r="G15" s="23"/>
      <c r="H15" s="32"/>
    </row>
    <row r="16" spans="1:8" ht="12.9" customHeight="1">
      <c r="C16" s="23"/>
      <c r="D16" s="23"/>
      <c r="E16" s="23"/>
      <c r="F16" s="23"/>
      <c r="G16" s="23"/>
      <c r="H16" s="32"/>
    </row>
    <row r="17" spans="1:8" ht="12.9" customHeight="1">
      <c r="A17" s="21" t="s">
        <v>232</v>
      </c>
      <c r="B17" s="26"/>
      <c r="C17" s="23"/>
      <c r="D17" s="23"/>
      <c r="E17" s="23"/>
      <c r="F17" s="23"/>
      <c r="G17" s="23"/>
      <c r="H17" s="32"/>
    </row>
    <row r="18" spans="1:8" ht="12.9" customHeight="1">
      <c r="A18" s="23" t="s">
        <v>315</v>
      </c>
      <c r="B18" s="27">
        <f>'   TA   '!W37</f>
        <v>0</v>
      </c>
      <c r="C18" s="23"/>
      <c r="D18" s="23"/>
      <c r="E18" s="23"/>
      <c r="F18" s="23"/>
      <c r="G18" s="23"/>
      <c r="H18" s="32"/>
    </row>
    <row r="19" spans="1:8" ht="12.9" customHeight="1">
      <c r="A19" s="23" t="s">
        <v>234</v>
      </c>
      <c r="B19" s="87">
        <f>'   TA   '!G37/'   TA   '!H10*100</f>
        <v>0</v>
      </c>
      <c r="C19" s="23"/>
      <c r="D19" s="23"/>
      <c r="E19" s="23"/>
      <c r="F19" s="23"/>
      <c r="G19" s="23"/>
      <c r="H19" s="32"/>
    </row>
    <row r="20" spans="1:8" ht="12.9" customHeight="1">
      <c r="A20" s="23" t="s">
        <v>316</v>
      </c>
      <c r="B20" s="28" t="e">
        <f>'   TA   '!M37/'   TA   '!K37</f>
        <v>#DIV/0!</v>
      </c>
      <c r="C20" s="23"/>
      <c r="D20" s="23"/>
      <c r="E20" s="23"/>
      <c r="F20" s="23"/>
      <c r="G20" s="23"/>
      <c r="H20" s="32"/>
    </row>
    <row r="21" spans="1:8" ht="12.9" customHeight="1">
      <c r="A21" s="23" t="s">
        <v>317</v>
      </c>
      <c r="B21" s="80" t="e">
        <f>'   TA   '!I38/('   TA   '!H38/1000)</f>
        <v>#DIV/0!</v>
      </c>
      <c r="C21" s="23"/>
      <c r="D21" s="23"/>
      <c r="E21" s="23"/>
      <c r="F21" s="23"/>
      <c r="G21" s="23"/>
      <c r="H21" s="32"/>
    </row>
    <row r="22" spans="1:8" ht="12.9" customHeight="1">
      <c r="A22" s="23" t="s">
        <v>278</v>
      </c>
      <c r="B22" s="29" t="e">
        <f>'   TA   '!E37</f>
        <v>#DIV/0!</v>
      </c>
      <c r="C22" s="23"/>
      <c r="D22" s="23"/>
      <c r="E22" s="23"/>
      <c r="F22" s="23"/>
      <c r="G22" s="23"/>
      <c r="H22" s="32"/>
    </row>
    <row r="23" spans="1:8" ht="12.9" customHeight="1">
      <c r="A23" s="23"/>
      <c r="B23" s="23"/>
      <c r="C23" s="23"/>
      <c r="D23" s="23"/>
      <c r="E23" s="23"/>
      <c r="F23" s="23"/>
      <c r="G23" s="23"/>
      <c r="H23" s="32"/>
    </row>
    <row r="24" spans="1:8" ht="12.9" customHeight="1">
      <c r="A24" s="21" t="s">
        <v>186</v>
      </c>
      <c r="B24" s="22"/>
      <c r="C24" s="22"/>
      <c r="D24" s="22"/>
      <c r="E24" s="22"/>
      <c r="F24" s="22"/>
      <c r="G24" s="22"/>
      <c r="H24" s="31"/>
    </row>
    <row r="25" spans="1:8" ht="9" customHeight="1">
      <c r="A25" s="23"/>
      <c r="B25" s="23"/>
      <c r="C25" s="23"/>
      <c r="D25" s="23"/>
      <c r="E25" s="23"/>
      <c r="F25" s="23"/>
      <c r="G25" s="23"/>
    </row>
    <row r="26" spans="1:8" ht="17.399999999999999" customHeight="1">
      <c r="A26" s="72" t="s">
        <v>238</v>
      </c>
      <c r="B26" s="72" t="s">
        <v>188</v>
      </c>
      <c r="C26" s="72" t="s">
        <v>191</v>
      </c>
      <c r="D26" s="30"/>
      <c r="E26" s="23"/>
      <c r="F26" s="23"/>
      <c r="G26" s="23"/>
    </row>
    <row r="27" spans="1:8" ht="15" customHeight="1">
      <c r="A27" s="69" t="str">
        <f>IF(ISBLANK('   TA   '!B18),"",'   TA   '!B18)</f>
        <v/>
      </c>
      <c r="B27" s="70" t="str">
        <f>IF(ISBLANK('   TA   '!B18)," ",'   TA   '!D18)</f>
        <v xml:space="preserve"> </v>
      </c>
      <c r="C27" s="71" t="str">
        <f>'   TA   '!G18</f>
        <v xml:space="preserve"> </v>
      </c>
      <c r="D27" s="30"/>
      <c r="E27" s="38" t="s">
        <v>239</v>
      </c>
      <c r="F27" s="36">
        <f>'   TA   '!D37</f>
        <v>0</v>
      </c>
      <c r="G27" s="34" t="s">
        <v>318</v>
      </c>
    </row>
    <row r="28" spans="1:8" ht="15" customHeight="1">
      <c r="A28" s="69" t="str">
        <f>IF(ISBLANK('   TA   '!B19),"",'   TA   '!B19)</f>
        <v/>
      </c>
      <c r="B28" s="70" t="str">
        <f>IF(ISBLANK('   TA   '!B19)," ",'   TA   '!D19)</f>
        <v xml:space="preserve"> </v>
      </c>
      <c r="C28" s="71" t="str">
        <f>'   TA   '!G19</f>
        <v xml:space="preserve"> </v>
      </c>
      <c r="D28" s="30"/>
      <c r="E28" s="39" t="s">
        <v>241</v>
      </c>
      <c r="F28" s="37">
        <f>'   TA   '!G37</f>
        <v>0</v>
      </c>
      <c r="G28" s="35" t="s">
        <v>318</v>
      </c>
    </row>
    <row r="29" spans="1:8" ht="15" customHeight="1">
      <c r="A29" s="69" t="str">
        <f>IF(ISBLANK('   TA   '!B20),"",'   TA   '!B20)</f>
        <v/>
      </c>
      <c r="B29" s="70" t="str">
        <f>IF(ISBLANK('   TA   '!B20)," ",'   TA   '!D20)</f>
        <v xml:space="preserve"> </v>
      </c>
      <c r="C29" s="71" t="str">
        <f>'   TA   '!G20</f>
        <v xml:space="preserve"> </v>
      </c>
      <c r="D29" s="30"/>
      <c r="E29" s="23"/>
      <c r="F29" s="23"/>
      <c r="G29" s="23"/>
      <c r="H29" s="32"/>
    </row>
    <row r="30" spans="1:8" ht="15" customHeight="1">
      <c r="A30" s="69" t="str">
        <f>IF(ISBLANK('   TA   '!B21),"",'   TA   '!B21)</f>
        <v/>
      </c>
      <c r="B30" s="70" t="str">
        <f>IF(ISBLANK('   TA   '!B21)," ",'   TA   '!D21)</f>
        <v xml:space="preserve"> </v>
      </c>
      <c r="C30" s="71" t="str">
        <f>'   TA   '!G21</f>
        <v xml:space="preserve"> </v>
      </c>
      <c r="D30" s="30"/>
      <c r="E30" s="23"/>
      <c r="F30" s="23"/>
      <c r="G30" s="23"/>
      <c r="H30" s="32"/>
    </row>
    <row r="31" spans="1:8" ht="15" customHeight="1">
      <c r="A31" s="69" t="str">
        <f>IF(ISBLANK('   TA   '!B22),"",'   TA   '!B22)</f>
        <v/>
      </c>
      <c r="B31" s="70" t="str">
        <f>IF(ISBLANK('   TA   '!B22)," ",'   TA   '!D22)</f>
        <v xml:space="preserve"> </v>
      </c>
      <c r="C31" s="71" t="str">
        <f>'   TA   '!G22</f>
        <v xml:space="preserve"> </v>
      </c>
      <c r="D31" s="30"/>
      <c r="E31" s="23"/>
      <c r="F31" s="23"/>
      <c r="G31" s="23"/>
      <c r="H31" s="32"/>
    </row>
    <row r="32" spans="1:8" ht="15" customHeight="1">
      <c r="A32" s="69" t="str">
        <f>IF(ISBLANK('   TA   '!B23),"",'   TA   '!B23)</f>
        <v/>
      </c>
      <c r="B32" s="70" t="str">
        <f>IF(ISBLANK('   TA   '!B23)," ",'   TA   '!D23)</f>
        <v xml:space="preserve"> </v>
      </c>
      <c r="C32" s="71" t="str">
        <f>'   TA   '!G23</f>
        <v xml:space="preserve"> </v>
      </c>
      <c r="D32" s="30"/>
      <c r="E32" s="23"/>
      <c r="F32" s="23"/>
      <c r="G32" s="23"/>
      <c r="H32" s="32"/>
    </row>
    <row r="33" spans="1:8" ht="15" customHeight="1">
      <c r="A33" s="69" t="str">
        <f>IF(ISBLANK('   TA   '!B24),"",'   TA   '!B24)</f>
        <v/>
      </c>
      <c r="B33" s="70" t="str">
        <f>IF(ISBLANK('   TA   '!B24)," ",'   TA   '!D24)</f>
        <v xml:space="preserve"> </v>
      </c>
      <c r="C33" s="71" t="str">
        <f>'   TA   '!G24</f>
        <v xml:space="preserve"> </v>
      </c>
      <c r="D33" s="33"/>
      <c r="E33" s="32"/>
      <c r="F33" s="32"/>
      <c r="G33" s="32"/>
      <c r="H33" s="32"/>
    </row>
    <row r="34" spans="1:8" ht="15" customHeight="1">
      <c r="A34" s="69" t="str">
        <f>IF(ISBLANK('   TA   '!B25),"",'   TA   '!B25)</f>
        <v/>
      </c>
      <c r="B34" s="70" t="str">
        <f>IF(ISBLANK('   TA   '!B25)," ",'   TA   '!D25)</f>
        <v xml:space="preserve"> </v>
      </c>
      <c r="C34" s="71" t="str">
        <f>'   TA   '!G25</f>
        <v xml:space="preserve"> </v>
      </c>
      <c r="D34" s="33"/>
      <c r="E34" s="32"/>
      <c r="F34" s="32"/>
      <c r="G34" s="32"/>
      <c r="H34" s="32"/>
    </row>
    <row r="35" spans="1:8" ht="15" customHeight="1">
      <c r="A35" s="69" t="str">
        <f>IF(ISBLANK('   TA   '!B26),"",'   TA   '!B26)</f>
        <v/>
      </c>
      <c r="B35" s="70" t="str">
        <f>IF(ISBLANK('   TA   '!B26)," ",'   TA   '!D26)</f>
        <v xml:space="preserve"> </v>
      </c>
      <c r="C35" s="71" t="str">
        <f>'   TA   '!G26</f>
        <v xml:space="preserve"> </v>
      </c>
      <c r="D35" s="33"/>
      <c r="E35" s="32"/>
      <c r="F35" s="32"/>
      <c r="G35" s="32"/>
      <c r="H35" s="32"/>
    </row>
    <row r="36" spans="1:8" ht="15" customHeight="1">
      <c r="A36" s="69" t="str">
        <f>IF(ISBLANK('   TA   '!B27),"",'   TA   '!B27)</f>
        <v/>
      </c>
      <c r="B36" s="70" t="str">
        <f>IF(ISBLANK('   TA   '!B27)," ",'   TA   '!D27)</f>
        <v xml:space="preserve"> </v>
      </c>
      <c r="C36" s="71" t="str">
        <f>'   TA   '!G27</f>
        <v xml:space="preserve"> </v>
      </c>
      <c r="D36" s="33"/>
      <c r="E36" s="32"/>
      <c r="F36" s="32"/>
      <c r="G36" s="32"/>
      <c r="H36" s="32"/>
    </row>
    <row r="37" spans="1:8" ht="15" customHeight="1">
      <c r="A37" s="69" t="str">
        <f>IF(ISBLANK('   TA   '!B28),"",'   TA   '!B28)</f>
        <v/>
      </c>
      <c r="B37" s="70" t="str">
        <f>IF(ISBLANK('   TA   '!B28)," ",'   TA   '!D28)</f>
        <v xml:space="preserve"> </v>
      </c>
      <c r="C37" s="71" t="str">
        <f>'   TA   '!G28</f>
        <v xml:space="preserve"> </v>
      </c>
      <c r="D37" s="33"/>
      <c r="E37" s="32"/>
      <c r="F37" s="32"/>
      <c r="G37" s="32"/>
      <c r="H37" s="32"/>
    </row>
    <row r="38" spans="1:8" ht="15" customHeight="1">
      <c r="A38" s="69" t="str">
        <f>IF(ISBLANK('   TA   '!B29),"",'   TA   '!B29)</f>
        <v/>
      </c>
      <c r="B38" s="70" t="str">
        <f>IF(ISBLANK('   TA   '!B29)," ",'   TA   '!D29)</f>
        <v xml:space="preserve"> </v>
      </c>
      <c r="C38" s="71" t="str">
        <f>'   TA   '!G29</f>
        <v xml:space="preserve"> </v>
      </c>
      <c r="D38" s="33"/>
      <c r="E38" s="32"/>
      <c r="F38" s="32"/>
      <c r="G38" s="32"/>
      <c r="H38" s="32"/>
    </row>
    <row r="39" spans="1:8" ht="15" customHeight="1">
      <c r="A39" s="69" t="str">
        <f>IF(ISBLANK('   TA   '!B30),"",'   TA   '!B30)</f>
        <v/>
      </c>
      <c r="B39" s="70" t="str">
        <f>IF(ISBLANK('   TA   '!B30)," ",'   TA   '!D30)</f>
        <v xml:space="preserve"> </v>
      </c>
      <c r="C39" s="71" t="str">
        <f>'   TA   '!G30</f>
        <v xml:space="preserve"> </v>
      </c>
      <c r="D39" s="33"/>
      <c r="E39" s="32"/>
      <c r="F39" s="32"/>
      <c r="G39" s="32"/>
      <c r="H39" s="32"/>
    </row>
    <row r="40" spans="1:8" ht="15" customHeight="1">
      <c r="A40" s="69" t="str">
        <f>IF(ISBLANK('   TA   '!B31),"",'   TA   '!B31)</f>
        <v/>
      </c>
      <c r="B40" s="70" t="str">
        <f>IF(ISBLANK('   TA   '!B31)," ",'   TA   '!D31)</f>
        <v xml:space="preserve"> </v>
      </c>
      <c r="C40" s="71" t="str">
        <f>'   TA   '!G31</f>
        <v xml:space="preserve"> </v>
      </c>
      <c r="D40" s="33"/>
      <c r="E40" s="32"/>
      <c r="F40" s="32"/>
      <c r="G40" s="32"/>
      <c r="H40" s="32"/>
    </row>
    <row r="41" spans="1:8" ht="15" customHeight="1">
      <c r="A41" s="69" t="str">
        <f>IF(ISBLANK('   TA   '!B32),"",'   TA   '!B32)</f>
        <v/>
      </c>
      <c r="B41" s="70" t="str">
        <f>IF(ISBLANK('   TA   '!B32)," ",'   TA   '!D32)</f>
        <v xml:space="preserve"> </v>
      </c>
      <c r="C41" s="71" t="str">
        <f>'   TA   '!G32</f>
        <v xml:space="preserve"> </v>
      </c>
      <c r="D41" s="33"/>
      <c r="E41" s="32"/>
      <c r="F41" s="32"/>
      <c r="G41" s="32"/>
      <c r="H41" s="32"/>
    </row>
    <row r="42" spans="1:8" ht="15" customHeight="1">
      <c r="A42" s="69" t="str">
        <f>IF(ISBLANK('   TA   '!B33),"",'   TA   '!B33)</f>
        <v/>
      </c>
      <c r="B42" s="70" t="str">
        <f>IF(ISBLANK('   TA   '!B33)," ",'   TA   '!D33)</f>
        <v xml:space="preserve"> </v>
      </c>
      <c r="C42" s="71" t="str">
        <f>'   TA   '!G33</f>
        <v xml:space="preserve"> </v>
      </c>
      <c r="D42" s="32"/>
      <c r="E42" s="32"/>
      <c r="F42" s="32"/>
      <c r="G42" s="32"/>
      <c r="H42" s="32"/>
    </row>
    <row r="43" spans="1:8" ht="5.4" customHeight="1">
      <c r="A43" s="81"/>
      <c r="B43" s="70" t="str">
        <f>IF(ISBLANK('   TA   '!B34)," ",'   TA   '!D34)</f>
        <v xml:space="preserve"> </v>
      </c>
      <c r="C43" s="71" t="str">
        <f>'   TA   '!G34</f>
        <v xml:space="preserve"> </v>
      </c>
      <c r="D43" s="32"/>
      <c r="E43" s="32"/>
      <c r="F43" s="32"/>
      <c r="G43" s="32"/>
      <c r="H43" s="32"/>
    </row>
    <row r="44" spans="1:8" ht="12.9" customHeight="1">
      <c r="A44" s="78" t="s">
        <v>248</v>
      </c>
      <c r="B44" s="48"/>
      <c r="C44" s="48"/>
      <c r="D44" s="48"/>
      <c r="E44" s="48"/>
      <c r="F44" s="48"/>
      <c r="G44" s="48"/>
      <c r="H44" s="49"/>
    </row>
    <row r="45" spans="1:8" ht="4.2" customHeight="1">
      <c r="A45" s="50"/>
      <c r="H45" s="51"/>
    </row>
    <row r="46" spans="1:8" ht="12" customHeight="1">
      <c r="A46" s="52" t="s">
        <v>43</v>
      </c>
      <c r="B46" s="45" t="e">
        <f>'   TA   '!H38</f>
        <v>#DIV/0!</v>
      </c>
      <c r="C46" s="32"/>
      <c r="D46" s="782" t="s">
        <v>54</v>
      </c>
      <c r="E46" s="782"/>
      <c r="F46" s="45" t="e">
        <f>'   TA   '!R38</f>
        <v>#DIV/0!</v>
      </c>
      <c r="G46" s="32" t="s">
        <v>249</v>
      </c>
      <c r="H46" s="51"/>
    </row>
    <row r="47" spans="1:8" ht="12" customHeight="1">
      <c r="A47" s="52" t="s">
        <v>44</v>
      </c>
      <c r="B47" s="45" t="e">
        <f>'   TA   '!I38</f>
        <v>#DIV/0!</v>
      </c>
      <c r="C47" s="32" t="s">
        <v>249</v>
      </c>
      <c r="D47" s="782" t="s">
        <v>193</v>
      </c>
      <c r="E47" s="782"/>
      <c r="F47" s="45" t="e">
        <f>'   TA   '!S38</f>
        <v>#DIV/0!</v>
      </c>
      <c r="G47" s="32" t="s">
        <v>249</v>
      </c>
      <c r="H47" s="51"/>
    </row>
    <row r="48" spans="1:8" ht="12" customHeight="1">
      <c r="A48" s="52" t="s">
        <v>45</v>
      </c>
      <c r="B48" s="45" t="e">
        <f>'   TA   '!J38</f>
        <v>#DIV/0!</v>
      </c>
      <c r="C48" s="32" t="s">
        <v>249</v>
      </c>
      <c r="D48" s="782" t="s">
        <v>56</v>
      </c>
      <c r="E48" s="782"/>
      <c r="F48" s="45" t="e">
        <f>'   TA   '!T38</f>
        <v>#DIV/0!</v>
      </c>
      <c r="G48" s="32" t="s">
        <v>249</v>
      </c>
      <c r="H48" s="51"/>
    </row>
    <row r="49" spans="1:8" ht="12" customHeight="1">
      <c r="A49" s="52" t="s">
        <v>47</v>
      </c>
      <c r="B49" s="46" t="e">
        <f>'   TA   '!K38</f>
        <v>#DIV/0!</v>
      </c>
      <c r="C49" s="32"/>
      <c r="D49" s="782" t="s">
        <v>57</v>
      </c>
      <c r="E49" s="782"/>
      <c r="F49" s="45" t="e">
        <f>'   TA   '!U38</f>
        <v>#DIV/0!</v>
      </c>
      <c r="G49" s="32" t="s">
        <v>249</v>
      </c>
      <c r="H49" s="51"/>
    </row>
    <row r="50" spans="1:8" ht="12" customHeight="1">
      <c r="A50" s="52" t="s">
        <v>48</v>
      </c>
      <c r="B50" s="45" t="e">
        <f>'   TA   '!L38</f>
        <v>#DIV/0!</v>
      </c>
      <c r="C50" s="32" t="s">
        <v>249</v>
      </c>
      <c r="D50" s="782" t="s">
        <v>51</v>
      </c>
      <c r="E50" s="782"/>
      <c r="F50" s="47" t="e">
        <f>'   TA   '!O38</f>
        <v>#DIV/0!</v>
      </c>
      <c r="G50" s="32" t="s">
        <v>249</v>
      </c>
      <c r="H50" s="51"/>
    </row>
    <row r="51" spans="1:8" ht="12" customHeight="1">
      <c r="A51" s="52" t="s">
        <v>49</v>
      </c>
      <c r="B51" s="45" t="e">
        <f>'   TA   '!M38</f>
        <v>#DIV/0!</v>
      </c>
      <c r="C51" s="32" t="s">
        <v>249</v>
      </c>
      <c r="D51" s="782" t="s">
        <v>52</v>
      </c>
      <c r="E51" s="782"/>
      <c r="F51" s="47" t="e">
        <f>'   TA   '!P38</f>
        <v>#DIV/0!</v>
      </c>
      <c r="G51" s="32" t="s">
        <v>249</v>
      </c>
      <c r="H51" s="51"/>
    </row>
    <row r="52" spans="1:8" ht="12" customHeight="1">
      <c r="A52" s="52" t="s">
        <v>250</v>
      </c>
      <c r="B52" s="45" t="e">
        <f>'   TA   '!N38</f>
        <v>#DIV/0!</v>
      </c>
      <c r="C52" s="32" t="s">
        <v>249</v>
      </c>
      <c r="D52" s="782" t="s">
        <v>251</v>
      </c>
      <c r="E52" s="782"/>
      <c r="F52" s="45" t="e">
        <f>'   TA   '!V38</f>
        <v>#DIV/0!</v>
      </c>
      <c r="G52" s="32" t="s">
        <v>249</v>
      </c>
      <c r="H52" s="51"/>
    </row>
    <row r="53" spans="1:8" ht="12" customHeight="1">
      <c r="A53" s="53" t="s">
        <v>192</v>
      </c>
      <c r="B53" s="54" t="e">
        <f>'   TA   '!Q38</f>
        <v>#DIV/0!</v>
      </c>
      <c r="C53" s="31" t="s">
        <v>249</v>
      </c>
      <c r="D53" s="31"/>
      <c r="E53" s="31"/>
      <c r="F53" s="31"/>
      <c r="G53" s="31"/>
      <c r="H53" s="55"/>
    </row>
    <row r="54" spans="1:8" ht="7.5" customHeight="1"/>
    <row r="55" spans="1:8" ht="15" customHeight="1">
      <c r="A55" s="79" t="s">
        <v>252</v>
      </c>
      <c r="B55" s="64"/>
      <c r="C55" s="64"/>
      <c r="D55" s="64"/>
      <c r="E55" s="64"/>
      <c r="F55" s="64"/>
      <c r="G55" s="64"/>
      <c r="H55" s="65"/>
    </row>
    <row r="56" spans="1:8" ht="12.9" customHeight="1">
      <c r="A56" s="50"/>
      <c r="H56" s="66"/>
    </row>
    <row r="57" spans="1:8" ht="12" customHeight="1">
      <c r="A57" s="50"/>
      <c r="H57" s="66"/>
    </row>
    <row r="58" spans="1:8" ht="12" customHeight="1">
      <c r="A58" s="50"/>
      <c r="H58" s="66"/>
    </row>
    <row r="59" spans="1:8" ht="15" customHeight="1">
      <c r="A59" s="67"/>
      <c r="B59" s="41"/>
      <c r="C59" s="41"/>
      <c r="D59" s="41"/>
      <c r="E59" s="41"/>
      <c r="F59" s="41"/>
      <c r="G59" s="41"/>
      <c r="H59" s="55"/>
    </row>
  </sheetData>
  <sheetProtection algorithmName="SHA-512" hashValue="PnUCqvTNKZ38o/v3Wx4dfHwMq2MVW7S4nELnL85cUUHboYDSjcL1pCyuf2+l/cMSCB/sN82Kh+uh3TUfiEF80g==" saltValue="8zP9AATb3XCci+Im4wHzNw==" spinCount="100000" sheet="1" objects="1" scenarios="1" selectLockedCells="1" selectUnlockedCells="1"/>
  <mergeCells count="9">
    <mergeCell ref="D50:E50"/>
    <mergeCell ref="D51:E51"/>
    <mergeCell ref="D52:E52"/>
    <mergeCell ref="G2:H2"/>
    <mergeCell ref="A8:H8"/>
    <mergeCell ref="D46:E46"/>
    <mergeCell ref="D47:E47"/>
    <mergeCell ref="D48:E48"/>
    <mergeCell ref="D49:E49"/>
  </mergeCells>
  <pageMargins left="0.23622047244094491" right="0.23622047244094491" top="0.35433070866141736" bottom="0.35433070866141736" header="0.31496062992125984" footer="0.31496062992125984"/>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6D7FD-F621-4801-A3DF-748346E982C5}">
  <sheetPr codeName="Feuil12">
    <tabColor rgb="FFFFC000"/>
  </sheetPr>
  <dimension ref="A1:AS85"/>
  <sheetViews>
    <sheetView showGridLines="0" zoomScaleNormal="100" workbookViewId="0">
      <selection activeCell="D13" sqref="D13 AK10:AK11"/>
    </sheetView>
  </sheetViews>
  <sheetFormatPr baseColWidth="10" defaultColWidth="11.44140625" defaultRowHeight="13.8"/>
  <cols>
    <col min="1" max="1" width="4.6640625" style="109" customWidth="1"/>
    <col min="2" max="2" width="28.44140625" style="109" customWidth="1"/>
    <col min="3" max="3" width="6.5546875" style="109" customWidth="1"/>
    <col min="4" max="5" width="8.6640625" style="109" customWidth="1"/>
    <col min="6" max="6" width="10.109375" style="109" customWidth="1"/>
    <col min="7" max="15" width="8.6640625" style="109" customWidth="1"/>
    <col min="16" max="16" width="9.5546875" style="109" customWidth="1"/>
    <col min="17" max="18" width="8.6640625" style="109" customWidth="1"/>
    <col min="19" max="19" width="11.109375" style="109" customWidth="1"/>
    <col min="20" max="23" width="8.6640625" style="109" customWidth="1"/>
    <col min="24" max="24" width="11.44140625" style="109"/>
    <col min="25" max="25" width="14" style="109" bestFit="1" customWidth="1"/>
    <col min="26" max="26" width="11.44140625" style="295"/>
    <col min="27" max="28" width="18" style="295" bestFit="1" customWidth="1"/>
    <col min="29" max="29" width="13.6640625" style="295" bestFit="1" customWidth="1"/>
    <col min="30" max="30" width="13.44140625" style="295" bestFit="1" customWidth="1"/>
    <col min="31" max="32" width="10.6640625" style="295" bestFit="1" customWidth="1"/>
    <col min="33" max="34" width="10.6640625" style="295" customWidth="1"/>
    <col min="35" max="35" width="6.6640625" style="295" customWidth="1"/>
    <col min="36" max="36" width="14.5546875" style="295" bestFit="1" customWidth="1"/>
    <col min="37" max="37" width="20.109375" style="295" bestFit="1" customWidth="1"/>
    <col min="38" max="38" width="20.109375" style="295" customWidth="1"/>
    <col min="39" max="39" width="16.44140625" style="295" bestFit="1" customWidth="1"/>
    <col min="40" max="40" width="14.5546875" style="295" customWidth="1"/>
    <col min="41" max="41" width="11.109375" style="295" customWidth="1"/>
    <col min="42" max="43" width="11.44140625" style="295"/>
    <col min="44" max="16384" width="11.44140625" style="109"/>
  </cols>
  <sheetData>
    <row r="1" spans="1:45" ht="25.5" customHeight="1">
      <c r="A1" s="775" t="s">
        <v>254</v>
      </c>
      <c r="B1" s="775"/>
      <c r="C1" s="775"/>
      <c r="D1" s="775"/>
      <c r="E1" s="775"/>
      <c r="F1" s="775"/>
      <c r="G1" s="775"/>
      <c r="H1" s="775"/>
      <c r="I1" s="775"/>
      <c r="J1" s="775"/>
      <c r="K1" s="775"/>
      <c r="L1" s="775"/>
      <c r="M1" s="775"/>
      <c r="N1" s="775"/>
      <c r="O1" s="775"/>
      <c r="P1" s="775"/>
      <c r="Q1" s="775"/>
      <c r="R1" s="775"/>
      <c r="S1" s="775"/>
      <c r="T1" s="775"/>
      <c r="U1" s="775"/>
      <c r="V1" s="775"/>
      <c r="W1" s="775"/>
    </row>
    <row r="2" spans="1:45" ht="14.4" thickBot="1">
      <c r="B2" s="1"/>
    </row>
    <row r="3" spans="1:45" ht="15.6">
      <c r="B3" s="90" t="s">
        <v>158</v>
      </c>
      <c r="C3" s="777"/>
      <c r="D3" s="777"/>
      <c r="E3" s="777"/>
      <c r="F3" s="778"/>
      <c r="K3" s="1"/>
      <c r="L3" s="790" t="s">
        <v>159</v>
      </c>
      <c r="M3" s="790"/>
      <c r="N3" s="494">
        <f>G40/H14</f>
        <v>0</v>
      </c>
      <c r="O3" s="495">
        <f>G40/(D15/100)</f>
        <v>0</v>
      </c>
      <c r="P3" s="496" t="s">
        <v>280</v>
      </c>
      <c r="Q3" s="497"/>
      <c r="S3" s="111"/>
      <c r="T3" s="112" t="s">
        <v>260</v>
      </c>
      <c r="U3" s="111"/>
      <c r="V3" s="111"/>
    </row>
    <row r="4" spans="1:45" ht="15.6">
      <c r="B4" s="92" t="s">
        <v>161</v>
      </c>
      <c r="C4" s="779"/>
      <c r="D4" s="779"/>
      <c r="E4" s="779"/>
      <c r="F4" s="779"/>
      <c r="K4" s="1"/>
      <c r="L4" s="790" t="s">
        <v>281</v>
      </c>
      <c r="M4" s="790"/>
      <c r="N4" s="498" t="e">
        <f>(L41-M41)/K41</f>
        <v>#DIV/0!</v>
      </c>
      <c r="O4" s="1"/>
      <c r="P4" s="1"/>
      <c r="Q4" s="1"/>
      <c r="AA4" s="321"/>
      <c r="AB4" s="411"/>
      <c r="AC4" s="411"/>
      <c r="AD4" s="411"/>
      <c r="AE4" s="411"/>
      <c r="AF4" s="411"/>
      <c r="AG4" s="411"/>
      <c r="AH4" s="411"/>
      <c r="AI4" s="411"/>
      <c r="AJ4" s="411"/>
      <c r="AK4" s="411"/>
      <c r="AL4" s="411"/>
      <c r="AM4" s="411"/>
      <c r="AN4" s="411"/>
      <c r="AO4" s="411"/>
      <c r="AP4" s="411"/>
      <c r="AQ4" s="411"/>
      <c r="AR4" s="1"/>
      <c r="AS4" s="1"/>
    </row>
    <row r="5" spans="1:45" ht="16.2" thickBot="1">
      <c r="B5" s="91" t="s">
        <v>163</v>
      </c>
      <c r="C5" s="780"/>
      <c r="D5" s="780"/>
      <c r="E5" s="780"/>
      <c r="F5" s="781"/>
      <c r="K5" s="1"/>
      <c r="L5" s="790" t="s">
        <v>282</v>
      </c>
      <c r="M5" s="790"/>
      <c r="N5" s="443" t="e">
        <f>MIN(L41:M41)/K41</f>
        <v>#DIV/0!</v>
      </c>
      <c r="O5" s="1"/>
      <c r="P5" s="1"/>
      <c r="Q5" s="1"/>
      <c r="AA5" s="321"/>
      <c r="AB5" s="411"/>
      <c r="AC5" s="411"/>
      <c r="AD5" s="411"/>
      <c r="AE5" s="415">
        <f>MATCH(D9,AB10:AB17)</f>
        <v>2</v>
      </c>
      <c r="AF5" s="415">
        <f>MATCH(D13,AD9:AH9)</f>
        <v>1</v>
      </c>
      <c r="AG5" s="411"/>
      <c r="AH5" s="411"/>
      <c r="AI5" s="411"/>
      <c r="AJ5" s="411"/>
      <c r="AK5" s="411"/>
      <c r="AL5" s="411"/>
      <c r="AM5" s="411"/>
      <c r="AN5" s="411"/>
      <c r="AO5" s="411"/>
      <c r="AP5" s="411"/>
      <c r="AQ5" s="411"/>
      <c r="AR5" s="1"/>
      <c r="AS5" s="1"/>
    </row>
    <row r="6" spans="1:45" ht="9.75" customHeight="1">
      <c r="B6" s="1"/>
      <c r="I6" s="161"/>
      <c r="K6" s="1"/>
      <c r="L6" s="1"/>
      <c r="M6" s="1"/>
      <c r="N6" s="499"/>
      <c r="O6" s="1"/>
      <c r="P6" s="1"/>
      <c r="Q6" s="1"/>
      <c r="AB6" s="411"/>
      <c r="AC6" s="411"/>
      <c r="AD6" s="411"/>
      <c r="AE6" s="411"/>
      <c r="AF6" s="411"/>
      <c r="AG6" s="411"/>
      <c r="AH6" s="411"/>
      <c r="AI6" s="411"/>
      <c r="AJ6" s="411"/>
      <c r="AK6" s="411"/>
      <c r="AL6" s="411"/>
      <c r="AM6" s="411"/>
      <c r="AN6" s="411"/>
      <c r="AO6" s="411"/>
      <c r="AP6" s="411"/>
      <c r="AQ6" s="411"/>
      <c r="AR6" s="1"/>
      <c r="AS6" s="1"/>
    </row>
    <row r="7" spans="1:45" ht="15.6">
      <c r="B7" s="11" t="s">
        <v>319</v>
      </c>
      <c r="AB7" s="411"/>
      <c r="AC7" s="411"/>
      <c r="AD7" s="415"/>
      <c r="AE7" s="415"/>
      <c r="AF7" s="528" t="s">
        <v>320</v>
      </c>
      <c r="AG7" s="415"/>
      <c r="AH7" s="415"/>
      <c r="AI7" s="411"/>
      <c r="AJ7" s="411"/>
      <c r="AK7" s="411"/>
      <c r="AL7" s="411"/>
      <c r="AM7" s="411"/>
      <c r="AN7" s="411"/>
      <c r="AO7" s="411"/>
      <c r="AP7" s="411"/>
      <c r="AQ7" s="411"/>
      <c r="AR7" s="1"/>
      <c r="AS7" s="1"/>
    </row>
    <row r="8" spans="1:45" ht="6" customHeight="1" thickBot="1">
      <c r="B8" s="1"/>
      <c r="AB8" s="415"/>
      <c r="AC8" s="415"/>
      <c r="AD8" s="411"/>
      <c r="AE8" s="411"/>
      <c r="AF8" s="411"/>
      <c r="AG8" s="411"/>
      <c r="AH8" s="411"/>
      <c r="AI8" s="415"/>
      <c r="AJ8" s="415"/>
      <c r="AK8" s="411"/>
      <c r="AL8" s="411"/>
      <c r="AM8" s="411"/>
      <c r="AN8" s="411"/>
      <c r="AO8" s="411"/>
      <c r="AP8" s="411"/>
      <c r="AQ8" s="411"/>
      <c r="AR8" s="1"/>
      <c r="AS8" s="1"/>
    </row>
    <row r="9" spans="1:45">
      <c r="B9" s="264" t="s">
        <v>231</v>
      </c>
      <c r="C9" s="114"/>
      <c r="D9" s="418" t="s">
        <v>292</v>
      </c>
      <c r="F9" s="18" t="s">
        <v>168</v>
      </c>
      <c r="G9" s="18"/>
      <c r="H9" s="217" t="s">
        <v>169</v>
      </c>
      <c r="I9" s="218" t="s">
        <v>321</v>
      </c>
      <c r="J9" s="218" t="s">
        <v>42</v>
      </c>
      <c r="K9" s="218" t="s">
        <v>170</v>
      </c>
      <c r="L9" s="218" t="s">
        <v>172</v>
      </c>
      <c r="M9" s="218" t="s">
        <v>173</v>
      </c>
      <c r="N9" s="393" t="s">
        <v>46</v>
      </c>
      <c r="O9" s="218" t="s">
        <v>48</v>
      </c>
      <c r="P9" s="218" t="s">
        <v>49</v>
      </c>
      <c r="Q9" s="394" t="s">
        <v>322</v>
      </c>
      <c r="AB9" s="528" t="s">
        <v>231</v>
      </c>
      <c r="AC9" s="415" t="s">
        <v>323</v>
      </c>
      <c r="AD9" s="472" t="s">
        <v>324</v>
      </c>
      <c r="AE9" s="472">
        <v>6</v>
      </c>
      <c r="AF9" s="472">
        <v>7</v>
      </c>
      <c r="AG9" s="472">
        <v>8</v>
      </c>
      <c r="AH9" s="472">
        <v>9</v>
      </c>
      <c r="AI9" s="415"/>
      <c r="AJ9" s="528" t="s">
        <v>325</v>
      </c>
      <c r="AK9" s="528" t="s">
        <v>255</v>
      </c>
      <c r="AL9" s="528" t="s">
        <v>326</v>
      </c>
      <c r="AM9" s="528" t="s">
        <v>327</v>
      </c>
      <c r="AN9" s="411" t="s">
        <v>328</v>
      </c>
      <c r="AO9" s="411" t="s">
        <v>329</v>
      </c>
      <c r="AP9" s="411" t="s">
        <v>330</v>
      </c>
      <c r="AQ9" s="411"/>
      <c r="AR9" s="1"/>
      <c r="AS9" s="1"/>
    </row>
    <row r="10" spans="1:45">
      <c r="B10" s="265" t="s">
        <v>325</v>
      </c>
      <c r="C10" s="117"/>
      <c r="D10" s="484" t="s">
        <v>331</v>
      </c>
      <c r="F10" s="322" t="s">
        <v>175</v>
      </c>
      <c r="G10" s="500"/>
      <c r="H10" s="501">
        <f>IF(D14=1,(0.085*D15^0.75)*0.88,0.085*D15^0.75)</f>
        <v>11.814580289940354</v>
      </c>
      <c r="I10" s="502" t="s">
        <v>332</v>
      </c>
      <c r="J10" s="327">
        <f>6.45*D15+1265</f>
        <v>5909</v>
      </c>
      <c r="K10" s="327">
        <f>(D15/10)+54</f>
        <v>126</v>
      </c>
      <c r="L10" s="327">
        <f>5*0.01*D15</f>
        <v>36</v>
      </c>
      <c r="M10" s="327">
        <f>3*0.01*D15</f>
        <v>21.599999999999998</v>
      </c>
      <c r="N10" s="503">
        <f>((AD40*AD41)+(0.0068*(D12-2.5)))*D15^0.75</f>
        <v>6.8385570619419456</v>
      </c>
      <c r="O10" s="504" t="s">
        <v>332</v>
      </c>
      <c r="P10" s="327" t="s">
        <v>332</v>
      </c>
      <c r="Q10" s="505" t="s">
        <v>332</v>
      </c>
      <c r="R10" s="161"/>
      <c r="Y10" s="161"/>
      <c r="AB10" s="472" t="s">
        <v>290</v>
      </c>
      <c r="AC10" s="411">
        <v>600</v>
      </c>
      <c r="AD10" s="411">
        <v>8</v>
      </c>
      <c r="AE10" s="411">
        <v>5.5</v>
      </c>
      <c r="AF10" s="411">
        <v>2.5</v>
      </c>
      <c r="AG10" s="411">
        <v>0</v>
      </c>
      <c r="AH10" s="411">
        <v>0</v>
      </c>
      <c r="AI10" s="411"/>
      <c r="AJ10" s="472" t="s">
        <v>331</v>
      </c>
      <c r="AK10" s="472" t="s">
        <v>324</v>
      </c>
      <c r="AL10" s="472">
        <v>0</v>
      </c>
      <c r="AM10" s="472">
        <v>1</v>
      </c>
      <c r="AN10" s="411" t="s">
        <v>333</v>
      </c>
      <c r="AO10" s="411">
        <v>1.2</v>
      </c>
      <c r="AP10" s="411">
        <v>0.5</v>
      </c>
      <c r="AQ10" s="411"/>
      <c r="AR10" s="1"/>
      <c r="AS10" s="1"/>
    </row>
    <row r="11" spans="1:45">
      <c r="B11" s="265" t="s">
        <v>328</v>
      </c>
      <c r="C11" s="117"/>
      <c r="D11" s="484" t="s">
        <v>333</v>
      </c>
      <c r="F11" s="506" t="s">
        <v>177</v>
      </c>
      <c r="G11" s="507"/>
      <c r="H11" s="508">
        <f>0.25*D16</f>
        <v>1.75</v>
      </c>
      <c r="I11" s="509" t="s">
        <v>332</v>
      </c>
      <c r="J11" s="510">
        <f>442*D16</f>
        <v>3094</v>
      </c>
      <c r="K11" s="510">
        <f>52*D16</f>
        <v>364</v>
      </c>
      <c r="L11" s="510">
        <f>5*D16</f>
        <v>35</v>
      </c>
      <c r="M11" s="510">
        <f>3*D16</f>
        <v>21</v>
      </c>
      <c r="N11" s="511">
        <f>0.45*D16</f>
        <v>3.15</v>
      </c>
      <c r="O11" s="510" t="s">
        <v>332</v>
      </c>
      <c r="P11" s="510" t="s">
        <v>332</v>
      </c>
      <c r="Q11" s="512" t="s">
        <v>332</v>
      </c>
      <c r="R11" s="161"/>
      <c r="AB11" s="472" t="s">
        <v>292</v>
      </c>
      <c r="AC11" s="411">
        <v>720</v>
      </c>
      <c r="AD11" s="411">
        <v>7</v>
      </c>
      <c r="AE11" s="411">
        <v>4.5</v>
      </c>
      <c r="AF11" s="411">
        <v>2.5</v>
      </c>
      <c r="AG11" s="411">
        <v>0</v>
      </c>
      <c r="AH11" s="411">
        <v>0</v>
      </c>
      <c r="AI11" s="411"/>
      <c r="AJ11" s="472" t="s">
        <v>334</v>
      </c>
      <c r="AK11" s="472">
        <v>6</v>
      </c>
      <c r="AL11" s="472">
        <v>0.6</v>
      </c>
      <c r="AM11" s="472">
        <v>2</v>
      </c>
      <c r="AN11" s="411" t="s">
        <v>335</v>
      </c>
      <c r="AO11" s="411">
        <v>1</v>
      </c>
      <c r="AP11" s="411">
        <v>1</v>
      </c>
      <c r="AQ11" s="411"/>
      <c r="AR11" s="1"/>
      <c r="AS11" s="1"/>
    </row>
    <row r="12" spans="1:45">
      <c r="B12" s="265" t="s">
        <v>330</v>
      </c>
      <c r="C12" s="117"/>
      <c r="D12" s="484">
        <v>2.5</v>
      </c>
      <c r="F12" s="506" t="s">
        <v>258</v>
      </c>
      <c r="G12" s="513"/>
      <c r="H12" s="508">
        <f>IF(D13=9,-1.5,0)</f>
        <v>0</v>
      </c>
      <c r="I12" s="509" t="s">
        <v>332</v>
      </c>
      <c r="J12" s="510" cm="1">
        <f t="array" ref="J12">_xlfn.IFS(D13=9,3375,D13=8,1875,D13=7,1065,D13=AK10,0,D13=AK11,0)</f>
        <v>0</v>
      </c>
      <c r="K12" s="510" cm="1">
        <f t="array" ref="K12">_xlfn.IFS(D13=9,350,D13=8,225,D13=7,120,D13=6,0,D13=AK10,0)</f>
        <v>0</v>
      </c>
      <c r="L12" s="510" cm="1">
        <f t="array" ref="L12">_xlfn.IFS(D13=6,5,D13=7,10.5,D13=8,18,D13=9,28,D13=AK10,0)</f>
        <v>0</v>
      </c>
      <c r="M12" s="510" cm="1">
        <f t="array" ref="M12">_xlfn.IFS(D13=6,2,D13=7,3.5,D13=8,6,D13=9,9,D13=AK10,0)</f>
        <v>0</v>
      </c>
      <c r="N12" s="511" cm="1">
        <f t="array" ref="N12">_xlfn.IFS(D13=6,0.6,D13=7,1.1,D13=8,1.9,D13=9,3.1,D13=AK10,0)</f>
        <v>0</v>
      </c>
      <c r="O12" s="510" t="s">
        <v>332</v>
      </c>
      <c r="P12" s="510" t="s">
        <v>332</v>
      </c>
      <c r="Q12" s="512" t="s">
        <v>332</v>
      </c>
      <c r="AB12" s="472" t="s">
        <v>336</v>
      </c>
      <c r="AC12" s="411">
        <v>720</v>
      </c>
      <c r="AD12" s="411">
        <v>8</v>
      </c>
      <c r="AE12" s="411">
        <v>5</v>
      </c>
      <c r="AF12" s="411">
        <v>3</v>
      </c>
      <c r="AG12" s="411">
        <v>0</v>
      </c>
      <c r="AH12" s="411">
        <v>0</v>
      </c>
      <c r="AI12" s="411"/>
      <c r="AJ12" s="472"/>
      <c r="AK12" s="472">
        <v>7</v>
      </c>
      <c r="AL12" s="472">
        <v>1.1000000000000001</v>
      </c>
      <c r="AM12" s="472">
        <v>3</v>
      </c>
      <c r="AN12" s="411" t="s">
        <v>337</v>
      </c>
      <c r="AO12" s="411">
        <v>1.1000000000000001</v>
      </c>
      <c r="AP12" s="411">
        <v>1.5</v>
      </c>
      <c r="AQ12" s="411"/>
      <c r="AR12" s="1"/>
      <c r="AS12" s="1"/>
    </row>
    <row r="13" spans="1:45">
      <c r="B13" s="265" t="s">
        <v>255</v>
      </c>
      <c r="C13" s="117"/>
      <c r="D13" s="486" t="s">
        <v>324</v>
      </c>
      <c r="F13" s="330" t="s">
        <v>179</v>
      </c>
      <c r="G13" s="514"/>
      <c r="H13" s="332">
        <v>0</v>
      </c>
      <c r="I13" s="515" t="s">
        <v>332</v>
      </c>
      <c r="J13" s="333" cm="1">
        <f t="array" ref="J13">_xlfn.IFS(D14=1,660,D14=2,660,D14=3,330,D14=AM13,0)</f>
        <v>0</v>
      </c>
      <c r="K13" s="333" cm="1">
        <f t="array" ref="K13">_xlfn.IFS(D14=1,37,D14=2,37,D14=3,19,D14=AM13,0)</f>
        <v>0</v>
      </c>
      <c r="L13" s="333">
        <v>0</v>
      </c>
      <c r="M13" s="333">
        <v>0</v>
      </c>
      <c r="N13" s="446">
        <f>IF(D14=1,0.85,0)</f>
        <v>0</v>
      </c>
      <c r="O13" s="333" t="s">
        <v>332</v>
      </c>
      <c r="P13" s="333" t="s">
        <v>332</v>
      </c>
      <c r="Q13" s="447" t="s">
        <v>332</v>
      </c>
      <c r="AB13" s="472" t="s">
        <v>295</v>
      </c>
      <c r="AC13" s="411">
        <v>690</v>
      </c>
      <c r="AD13" s="411">
        <v>8</v>
      </c>
      <c r="AE13" s="411">
        <v>5</v>
      </c>
      <c r="AF13" s="411">
        <v>3</v>
      </c>
      <c r="AG13" s="411">
        <v>0</v>
      </c>
      <c r="AH13" s="411">
        <v>0</v>
      </c>
      <c r="AI13" s="411"/>
      <c r="AJ13" s="472"/>
      <c r="AK13" s="472">
        <v>8</v>
      </c>
      <c r="AL13" s="472">
        <v>1.9</v>
      </c>
      <c r="AM13" s="472" t="s">
        <v>338</v>
      </c>
      <c r="AN13" s="411"/>
      <c r="AO13" s="411"/>
      <c r="AP13" s="411">
        <v>2</v>
      </c>
      <c r="AQ13" s="411"/>
      <c r="AR13" s="1"/>
      <c r="AS13" s="1"/>
    </row>
    <row r="14" spans="1:45" ht="14.4">
      <c r="B14" s="265" t="s">
        <v>327</v>
      </c>
      <c r="C14" s="117"/>
      <c r="D14" s="486" t="s">
        <v>338</v>
      </c>
      <c r="F14" s="337" t="s">
        <v>181</v>
      </c>
      <c r="G14" s="516"/>
      <c r="H14" s="396">
        <f>SUM(H10:H13)</f>
        <v>13.564580289940354</v>
      </c>
      <c r="I14" s="341">
        <f>AD34*AD35*AD36*(3.2+(0.015*D15)+(0.25*D16)-(AD37*D15*(D12-2.5)))</f>
        <v>15.261749999999999</v>
      </c>
      <c r="J14" s="397">
        <f>SUM(J10:J13)</f>
        <v>9003</v>
      </c>
      <c r="K14" s="397">
        <f>SUM(K10:K13)</f>
        <v>490</v>
      </c>
      <c r="L14" s="397">
        <f t="shared" ref="L14:M14" si="0">SUM(L10:L13)</f>
        <v>71</v>
      </c>
      <c r="M14" s="397">
        <f t="shared" si="0"/>
        <v>42.599999999999994</v>
      </c>
      <c r="N14" s="398">
        <f>SUM(N10:N13)</f>
        <v>9.988557061941945</v>
      </c>
      <c r="O14" s="397">
        <f>$N$14*$AD$45</f>
        <v>918.94724969865899</v>
      </c>
      <c r="P14" s="397">
        <f>$N$14*$AD$45</f>
        <v>918.94724969865899</v>
      </c>
      <c r="Q14" s="399">
        <f>Q15*H14</f>
        <v>-230.59786492898601</v>
      </c>
      <c r="W14" s="125"/>
      <c r="AB14" s="472" t="s">
        <v>339</v>
      </c>
      <c r="AC14" s="411">
        <v>685</v>
      </c>
      <c r="AD14" s="411">
        <v>7</v>
      </c>
      <c r="AE14" s="411">
        <v>4.5</v>
      </c>
      <c r="AF14" s="411">
        <v>2.5</v>
      </c>
      <c r="AG14" s="411">
        <v>0</v>
      </c>
      <c r="AH14" s="411">
        <v>0</v>
      </c>
      <c r="AI14" s="411"/>
      <c r="AJ14" s="411"/>
      <c r="AK14" s="472">
        <v>9</v>
      </c>
      <c r="AL14" s="472">
        <v>3.1</v>
      </c>
      <c r="AM14" s="411"/>
      <c r="AN14" s="411"/>
      <c r="AO14" s="411"/>
      <c r="AP14" s="411">
        <v>2.5</v>
      </c>
      <c r="AQ14" s="411"/>
      <c r="AR14" s="1"/>
      <c r="AS14" s="1"/>
    </row>
    <row r="15" spans="1:45" ht="14.4">
      <c r="B15" s="265" t="s">
        <v>340</v>
      </c>
      <c r="C15" s="491">
        <f>VLOOKUP(D9,AB10:AD17,2)</f>
        <v>720</v>
      </c>
      <c r="D15" s="486">
        <v>720</v>
      </c>
      <c r="F15" s="517" t="s">
        <v>184</v>
      </c>
      <c r="G15" s="518"/>
      <c r="H15" s="519">
        <f>H14/$H$14</f>
        <v>1</v>
      </c>
      <c r="I15" s="519"/>
      <c r="J15" s="345">
        <f t="shared" ref="J15:P15" si="1">J14/$H$14</f>
        <v>663.71386416406312</v>
      </c>
      <c r="K15" s="345">
        <f t="shared" si="1"/>
        <v>36.123491440674321</v>
      </c>
      <c r="L15" s="346">
        <f t="shared" si="1"/>
        <v>5.2342201883426061</v>
      </c>
      <c r="M15" s="346">
        <f t="shared" si="1"/>
        <v>3.140532113005563</v>
      </c>
      <c r="N15" s="347">
        <f t="shared" si="1"/>
        <v>0.73637052149336102</v>
      </c>
      <c r="O15" s="345">
        <f t="shared" si="1"/>
        <v>67.746087977389223</v>
      </c>
      <c r="P15" s="345">
        <f t="shared" si="1"/>
        <v>67.746087977389223</v>
      </c>
      <c r="Q15" s="401">
        <v>-17</v>
      </c>
      <c r="W15" s="125"/>
      <c r="AB15" s="472" t="s">
        <v>341</v>
      </c>
      <c r="AC15" s="411">
        <v>685</v>
      </c>
      <c r="AD15" s="411">
        <v>7</v>
      </c>
      <c r="AE15" s="411">
        <v>4.5</v>
      </c>
      <c r="AF15" s="411">
        <v>2.5</v>
      </c>
      <c r="AG15" s="411">
        <v>0</v>
      </c>
      <c r="AH15" s="411">
        <v>0</v>
      </c>
      <c r="AI15" s="411"/>
      <c r="AJ15" s="411"/>
      <c r="AK15" s="411"/>
      <c r="AL15" s="411"/>
      <c r="AM15" s="411"/>
      <c r="AN15" s="411"/>
      <c r="AO15" s="411"/>
      <c r="AP15" s="411">
        <v>3</v>
      </c>
      <c r="AQ15" s="411"/>
      <c r="AR15" s="1"/>
      <c r="AS15" s="1"/>
    </row>
    <row r="16" spans="1:45" ht="15" thickBot="1">
      <c r="B16" s="266" t="s">
        <v>342</v>
      </c>
      <c r="C16" s="492"/>
      <c r="D16" s="493" cm="1">
        <f t="array" ref="D16">IF(D10=AJ11,0,INDEX(AD10:AH17,AE5,AF5))</f>
        <v>7</v>
      </c>
      <c r="F16" s="116"/>
      <c r="G16" s="116"/>
      <c r="I16" s="379"/>
      <c r="J16" s="379"/>
      <c r="K16" s="378"/>
      <c r="L16" s="378"/>
      <c r="M16" s="485"/>
      <c r="N16" s="379"/>
      <c r="O16" s="379"/>
      <c r="P16" s="379"/>
      <c r="W16" s="125"/>
      <c r="AB16" s="472" t="s">
        <v>343</v>
      </c>
      <c r="AC16" s="411">
        <v>710</v>
      </c>
      <c r="AD16" s="411">
        <v>9</v>
      </c>
      <c r="AE16" s="411">
        <v>5.5</v>
      </c>
      <c r="AF16" s="411">
        <v>3</v>
      </c>
      <c r="AG16" s="411">
        <v>0</v>
      </c>
      <c r="AH16" s="411">
        <v>0</v>
      </c>
      <c r="AI16" s="411"/>
      <c r="AJ16" s="411"/>
      <c r="AK16" s="411"/>
      <c r="AL16" s="411"/>
      <c r="AM16" s="411"/>
      <c r="AN16" s="411"/>
      <c r="AO16" s="411"/>
      <c r="AP16" s="411">
        <v>3.5</v>
      </c>
      <c r="AQ16" s="411"/>
      <c r="AR16" s="1"/>
      <c r="AS16" s="1"/>
    </row>
    <row r="17" spans="1:45" ht="14.4">
      <c r="B17" s="487" t="s">
        <v>344</v>
      </c>
      <c r="F17" s="116"/>
      <c r="G17" s="116"/>
      <c r="J17" s="488"/>
      <c r="K17" s="378"/>
      <c r="L17" s="378"/>
      <c r="M17" s="129"/>
      <c r="N17" s="161"/>
      <c r="O17" s="379"/>
      <c r="P17" s="379"/>
      <c r="W17" s="125"/>
      <c r="AB17" s="472" t="s">
        <v>308</v>
      </c>
      <c r="AC17" s="411">
        <v>600</v>
      </c>
      <c r="AD17" s="411">
        <v>9</v>
      </c>
      <c r="AE17" s="411">
        <v>5.5</v>
      </c>
      <c r="AF17" s="411">
        <v>3</v>
      </c>
      <c r="AG17" s="411">
        <v>0</v>
      </c>
      <c r="AH17" s="411">
        <v>0</v>
      </c>
      <c r="AI17" s="411"/>
      <c r="AJ17" s="411"/>
      <c r="AK17" s="411"/>
      <c r="AL17" s="411"/>
      <c r="AM17" s="411"/>
      <c r="AN17" s="411"/>
      <c r="AO17" s="411"/>
      <c r="AP17" s="411">
        <v>4</v>
      </c>
      <c r="AQ17" s="411"/>
      <c r="AR17" s="1"/>
      <c r="AS17" s="1"/>
    </row>
    <row r="18" spans="1:45" ht="15.6">
      <c r="B18" s="110" t="s">
        <v>186</v>
      </c>
      <c r="H18" s="156"/>
      <c r="I18" s="156"/>
      <c r="J18" s="156"/>
      <c r="K18" s="489"/>
      <c r="L18" s="156"/>
      <c r="M18" s="156"/>
      <c r="N18" s="161"/>
      <c r="AB18" s="411"/>
      <c r="AC18" s="411"/>
      <c r="AD18" s="411"/>
      <c r="AE18" s="411"/>
      <c r="AF18" s="411"/>
      <c r="AG18" s="411"/>
      <c r="AH18" s="411"/>
      <c r="AI18" s="411"/>
      <c r="AJ18" s="411"/>
      <c r="AK18" s="411"/>
      <c r="AL18" s="411"/>
      <c r="AM18" s="411"/>
      <c r="AN18" s="411"/>
      <c r="AO18" s="411"/>
      <c r="AP18" s="411">
        <v>4.5</v>
      </c>
      <c r="AQ18" s="411"/>
      <c r="AR18" s="1"/>
      <c r="AS18" s="1"/>
    </row>
    <row r="19" spans="1:45" ht="9.75" customHeight="1" thickBot="1">
      <c r="AB19" s="411"/>
      <c r="AC19" s="411"/>
      <c r="AD19" s="411"/>
      <c r="AE19" s="411"/>
      <c r="AF19" s="411"/>
      <c r="AG19" s="411"/>
      <c r="AH19" s="411"/>
      <c r="AI19" s="411"/>
      <c r="AJ19" s="411"/>
      <c r="AK19" s="411"/>
      <c r="AL19" s="411"/>
      <c r="AM19" s="411"/>
      <c r="AN19" s="411"/>
      <c r="AO19" s="411"/>
      <c r="AP19" s="411"/>
      <c r="AQ19" s="411"/>
      <c r="AR19" s="1"/>
      <c r="AS19" s="1"/>
    </row>
    <row r="20" spans="1:45" s="132" customFormat="1" ht="31.5" customHeight="1">
      <c r="A20" s="384"/>
      <c r="B20" s="403" t="s">
        <v>40</v>
      </c>
      <c r="C20" s="246" t="s">
        <v>187</v>
      </c>
      <c r="D20" s="246" t="s">
        <v>188</v>
      </c>
      <c r="E20" s="246" t="s">
        <v>189</v>
      </c>
      <c r="F20" s="246" t="s">
        <v>190</v>
      </c>
      <c r="G20" s="246" t="s">
        <v>191</v>
      </c>
      <c r="H20" s="246" t="s">
        <v>42</v>
      </c>
      <c r="I20" s="246" t="s">
        <v>44</v>
      </c>
      <c r="J20" s="246" t="s">
        <v>45</v>
      </c>
      <c r="K20" s="246" t="s">
        <v>46</v>
      </c>
      <c r="L20" s="246" t="s">
        <v>48</v>
      </c>
      <c r="M20" s="246" t="s">
        <v>49</v>
      </c>
      <c r="N20" s="246" t="s">
        <v>50</v>
      </c>
      <c r="O20" s="246" t="s">
        <v>51</v>
      </c>
      <c r="P20" s="246" t="s">
        <v>52</v>
      </c>
      <c r="Q20" s="246" t="s">
        <v>192</v>
      </c>
      <c r="R20" s="246" t="s">
        <v>54</v>
      </c>
      <c r="S20" s="246" t="s">
        <v>193</v>
      </c>
      <c r="T20" s="246" t="s">
        <v>56</v>
      </c>
      <c r="U20" s="246" t="s">
        <v>57</v>
      </c>
      <c r="V20" s="246" t="s">
        <v>59</v>
      </c>
      <c r="W20" s="273" t="s">
        <v>194</v>
      </c>
      <c r="Z20" s="299"/>
      <c r="AA20" s="299"/>
      <c r="AB20" s="413"/>
      <c r="AC20" s="413"/>
      <c r="AD20" s="413"/>
      <c r="AE20" s="413"/>
      <c r="AF20" s="413"/>
      <c r="AG20" s="413"/>
      <c r="AH20" s="413"/>
      <c r="AI20" s="413"/>
      <c r="AJ20" s="413"/>
      <c r="AK20" s="413"/>
      <c r="AL20" s="413"/>
      <c r="AM20" s="413"/>
      <c r="AN20" s="413"/>
      <c r="AO20" s="413"/>
      <c r="AP20" s="413"/>
      <c r="AQ20" s="413"/>
      <c r="AR20" s="5"/>
      <c r="AS20" s="5"/>
    </row>
    <row r="21" spans="1:45">
      <c r="A21" s="432"/>
      <c r="B21" s="386"/>
      <c r="C21" s="89" t="str">
        <f>IF(ISBLANK(B21),"",INDEX('Liste des aliments'!$B$6:$B$966,MATCH(B21,'Liste des aliments'!$C$6:$C$966,0)))</f>
        <v/>
      </c>
      <c r="D21" s="135"/>
      <c r="E21" s="136"/>
      <c r="F21" s="7" t="str">
        <f>IF(ISBLANK($B21)," ",VLOOKUP($B21,'Liste des aliments'!$C$6:$W$966,2,FALSE))</f>
        <v xml:space="preserve"> </v>
      </c>
      <c r="G21" s="8" t="str">
        <f>IF(ISBLANK(B21)," ",(D21*E21/100))</f>
        <v xml:space="preserve"> </v>
      </c>
      <c r="H21" s="9" t="str">
        <f>IF(ISBLANK($B21)," ",VLOOKUP($B21,'Liste des aliments'!$C$6:$W$966,3,FALSE))</f>
        <v xml:space="preserve"> </v>
      </c>
      <c r="I21" s="9" t="str">
        <f>IF(ISBLANK($B21)," ",VLOOKUP($B21,'Liste des aliments'!$C$6:$W$966,5,FALSE))</f>
        <v xml:space="preserve"> </v>
      </c>
      <c r="J21" s="9" t="str">
        <f>IF(ISBLANK($B21)," ",VLOOKUP($B21,'Liste des aliments'!$C$6:$W$966,6,FALSE))</f>
        <v xml:space="preserve"> </v>
      </c>
      <c r="K21" s="8" t="str">
        <f>IF(ISBLANK($B21)," ",VLOOKUP($B21,'Liste des aliments'!$C$6:$W$966,7,FALSE))</f>
        <v xml:space="preserve"> </v>
      </c>
      <c r="L21" s="9" t="str">
        <f>IF(ISBLANK($B21)," ",VLOOKUP($B21,'Liste des aliments'!$C$6:$W$966,9,FALSE))</f>
        <v xml:space="preserve"> </v>
      </c>
      <c r="M21" s="9" t="str">
        <f>IF(ISBLANK($B21)," ",VLOOKUP($B21,'Liste des aliments'!$C$6:$W$966,10,FALSE))</f>
        <v xml:space="preserve"> </v>
      </c>
      <c r="N21" s="9" t="str">
        <f>IF(ISBLANK($B21)," ",VLOOKUP($B21,'Liste des aliments'!$C$6:$W$966,11,FALSE))</f>
        <v xml:space="preserve"> </v>
      </c>
      <c r="O21" s="7" t="str">
        <f>IF(ISBLANK($B21)," ",VLOOKUP($B21,'Liste des aliments'!$C$6:$W$966,12,FALSE))</f>
        <v xml:space="preserve"> </v>
      </c>
      <c r="P21" s="7" t="str">
        <f>IF(ISBLANK($B21)," ",VLOOKUP($B21,'Liste des aliments'!$C$6:$W$966,13,FALSE))</f>
        <v xml:space="preserve"> </v>
      </c>
      <c r="Q21" s="9" t="str">
        <f>IF(ISBLANK($B21)," ",VLOOKUP($B21,'Liste des aliments'!$C$6:$W$966,14,FALSE))</f>
        <v xml:space="preserve"> </v>
      </c>
      <c r="R21" s="9" t="str">
        <f>IF(ISBLANK($B21)," ",VLOOKUP($B21,'Liste des aliments'!$C$6:$W$966,15,FALSE))</f>
        <v xml:space="preserve"> </v>
      </c>
      <c r="S21" s="9" t="str">
        <f>IF(ISBLANK($B21)," ",VLOOKUP($B21,'Liste des aliments'!$C$6:$W$966,16,FALSE))</f>
        <v xml:space="preserve"> </v>
      </c>
      <c r="T21" s="9" t="str">
        <f>IF(ISBLANK($B21)," ",VLOOKUP($B21,'Liste des aliments'!$C$6:$W$966,17,FALSE))</f>
        <v xml:space="preserve"> </v>
      </c>
      <c r="U21" s="9" t="str">
        <f>IF(ISBLANK($B21)," ",VLOOKUP($B21,'Liste des aliments'!$C$6:$W$966,18,FALSE))</f>
        <v xml:space="preserve"> </v>
      </c>
      <c r="V21" s="9" t="str">
        <f>IF(ISBLANK($B21)," ",VLOOKUP($B21,'Liste des aliments'!$C$6:$W$966,20,FALSE))</f>
        <v xml:space="preserve"> </v>
      </c>
      <c r="W21" s="107"/>
      <c r="AB21" s="411"/>
      <c r="AC21" s="411"/>
      <c r="AD21" s="411"/>
      <c r="AE21" s="411"/>
      <c r="AF21" s="411"/>
      <c r="AG21" s="411"/>
      <c r="AH21" s="411"/>
      <c r="AI21" s="411"/>
      <c r="AJ21" s="411"/>
      <c r="AK21" s="411"/>
      <c r="AL21" s="411"/>
      <c r="AM21" s="411"/>
      <c r="AN21" s="411"/>
      <c r="AO21" s="411"/>
      <c r="AP21" s="411"/>
      <c r="AQ21" s="411"/>
      <c r="AR21" s="1"/>
      <c r="AS21" s="1"/>
    </row>
    <row r="22" spans="1:45">
      <c r="A22" s="432"/>
      <c r="B22" s="387"/>
      <c r="C22" s="89" t="str">
        <f>IF(ISBLANK(B22),"",INDEX('Liste des aliments'!$B$6:$B$966,MATCH(B22,'Liste des aliments'!$C$6:$C$966,0)))</f>
        <v/>
      </c>
      <c r="D22" s="138"/>
      <c r="E22" s="139"/>
      <c r="F22" s="13" t="str">
        <f>IF(ISBLANK($B22)," ",VLOOKUP($B22,'Liste des aliments'!$C$6:$W$966,2,FALSE))</f>
        <v xml:space="preserve"> </v>
      </c>
      <c r="G22" s="14" t="str">
        <f t="shared" ref="G22:G36" si="2">IF(ISBLANK(B22)," ",(D22*E22/100))</f>
        <v xml:space="preserve"> </v>
      </c>
      <c r="H22" s="12" t="str">
        <f>IF(ISBLANK($B22)," ",VLOOKUP($B22,'Liste des aliments'!$C$6:$W$966,3,FALSE))</f>
        <v xml:space="preserve"> </v>
      </c>
      <c r="I22" s="12" t="str">
        <f>IF(ISBLANK($B22)," ",VLOOKUP($B22,'Liste des aliments'!$C$6:$W$966,5,FALSE))</f>
        <v xml:space="preserve"> </v>
      </c>
      <c r="J22" s="12" t="str">
        <f>IF(ISBLANK($B22)," ",VLOOKUP($B22,'Liste des aliments'!$C$6:$W$966,6,FALSE))</f>
        <v xml:space="preserve"> </v>
      </c>
      <c r="K22" s="14" t="str">
        <f>IF(ISBLANK($B22)," ",VLOOKUP($B22,'Liste des aliments'!$C$6:$W$966,7,FALSE))</f>
        <v xml:space="preserve"> </v>
      </c>
      <c r="L22" s="12" t="str">
        <f>IF(ISBLANK($B22)," ",VLOOKUP($B22,'Liste des aliments'!$C$6:$W$966,9,FALSE))</f>
        <v xml:space="preserve"> </v>
      </c>
      <c r="M22" s="12" t="str">
        <f>IF(ISBLANK($B22)," ",VLOOKUP($B22,'Liste des aliments'!$C$6:$W$966,10,FALSE))</f>
        <v xml:space="preserve"> </v>
      </c>
      <c r="N22" s="12" t="str">
        <f>IF(ISBLANK($B22)," ",VLOOKUP($B22,'Liste des aliments'!$C$6:$W$966,11,FALSE))</f>
        <v xml:space="preserve"> </v>
      </c>
      <c r="O22" s="13" t="str">
        <f>IF(ISBLANK($B22)," ",VLOOKUP($B22,'Liste des aliments'!$C$6:$W$966,12,FALSE))</f>
        <v xml:space="preserve"> </v>
      </c>
      <c r="P22" s="13" t="str">
        <f>IF(ISBLANK($B22)," ",VLOOKUP($B22,'Liste des aliments'!$C$6:$W$966,13,FALSE))</f>
        <v xml:space="preserve"> </v>
      </c>
      <c r="Q22" s="12" t="str">
        <f>IF(ISBLANK($B22)," ",VLOOKUP($B22,'Liste des aliments'!$C$6:$W$966,14,FALSE))</f>
        <v xml:space="preserve"> </v>
      </c>
      <c r="R22" s="12" t="str">
        <f>IF(ISBLANK($B22)," ",VLOOKUP($B22,'Liste des aliments'!$C$6:$W$966,15,FALSE))</f>
        <v xml:space="preserve"> </v>
      </c>
      <c r="S22" s="12" t="str">
        <f>IF(ISBLANK($B22)," ",VLOOKUP($B22,'Liste des aliments'!$C$6:$W$966,16,FALSE))</f>
        <v xml:space="preserve"> </v>
      </c>
      <c r="T22" s="12" t="str">
        <f>IF(ISBLANK($B22)," ",VLOOKUP($B22,'Liste des aliments'!$C$6:$W$966,17,FALSE))</f>
        <v xml:space="preserve"> </v>
      </c>
      <c r="U22" s="12" t="str">
        <f>IF(ISBLANK($B22)," ",VLOOKUP($B22,'Liste des aliments'!$C$6:$W$966,18,FALSE))</f>
        <v xml:space="preserve"> </v>
      </c>
      <c r="V22" s="12" t="str">
        <f>IF(ISBLANK($B22)," ",VLOOKUP($B22,'Liste des aliments'!$C$6:$W$966,20,FALSE))</f>
        <v xml:space="preserve"> </v>
      </c>
      <c r="W22" s="107"/>
      <c r="AB22" s="411" t="s">
        <v>231</v>
      </c>
      <c r="AC22" s="411" t="s">
        <v>345</v>
      </c>
      <c r="AD22" s="411"/>
      <c r="AE22" s="411"/>
      <c r="AF22" s="411"/>
      <c r="AG22" s="411"/>
      <c r="AH22" s="411"/>
      <c r="AI22" s="411"/>
      <c r="AJ22" s="411"/>
      <c r="AK22" s="411"/>
      <c r="AL22" s="411"/>
      <c r="AM22" s="411"/>
      <c r="AN22" s="411"/>
      <c r="AO22" s="411"/>
      <c r="AP22" s="411"/>
      <c r="AQ22" s="411"/>
      <c r="AR22" s="1"/>
      <c r="AS22" s="1"/>
    </row>
    <row r="23" spans="1:45">
      <c r="A23" s="432"/>
      <c r="B23" s="387"/>
      <c r="C23" s="89" t="str">
        <f>IF(ISBLANK(B23),"",INDEX('Liste des aliments'!$B$6:$B$966,MATCH(B23,'Liste des aliments'!$C$6:$C$966,0)))</f>
        <v/>
      </c>
      <c r="D23" s="138"/>
      <c r="E23" s="139"/>
      <c r="F23" s="13" t="str">
        <f>IF(ISBLANK($B23)," ",VLOOKUP($B23,'Liste des aliments'!$C$6:$W$966,2,FALSE))</f>
        <v xml:space="preserve"> </v>
      </c>
      <c r="G23" s="14" t="str">
        <f t="shared" si="2"/>
        <v xml:space="preserve"> </v>
      </c>
      <c r="H23" s="12" t="str">
        <f>IF(ISBLANK($B23)," ",VLOOKUP($B23,'Liste des aliments'!$C$6:$W$966,3,FALSE))</f>
        <v xml:space="preserve"> </v>
      </c>
      <c r="I23" s="12" t="str">
        <f>IF(ISBLANK($B23)," ",VLOOKUP($B23,'Liste des aliments'!$C$6:$W$966,5,FALSE))</f>
        <v xml:space="preserve"> </v>
      </c>
      <c r="J23" s="12" t="str">
        <f>IF(ISBLANK($B23)," ",VLOOKUP($B23,'Liste des aliments'!$C$6:$W$966,6,FALSE))</f>
        <v xml:space="preserve"> </v>
      </c>
      <c r="K23" s="14" t="str">
        <f>IF(ISBLANK($B23)," ",VLOOKUP($B23,'Liste des aliments'!$C$6:$W$966,7,FALSE))</f>
        <v xml:space="preserve"> </v>
      </c>
      <c r="L23" s="12" t="str">
        <f>IF(ISBLANK($B23)," ",VLOOKUP($B23,'Liste des aliments'!$C$6:$W$966,9,FALSE))</f>
        <v xml:space="preserve"> </v>
      </c>
      <c r="M23" s="12" t="str">
        <f>IF(ISBLANK($B23)," ",VLOOKUP($B23,'Liste des aliments'!$C$6:$W$966,10,FALSE))</f>
        <v xml:space="preserve"> </v>
      </c>
      <c r="N23" s="12" t="str">
        <f>IF(ISBLANK($B23)," ",VLOOKUP($B23,'Liste des aliments'!$C$6:$W$966,11,FALSE))</f>
        <v xml:space="preserve"> </v>
      </c>
      <c r="O23" s="13" t="str">
        <f>IF(ISBLANK($B23)," ",VLOOKUP($B23,'Liste des aliments'!$C$6:$W$966,12,FALSE))</f>
        <v xml:space="preserve"> </v>
      </c>
      <c r="P23" s="13" t="str">
        <f>IF(ISBLANK($B23)," ",VLOOKUP($B23,'Liste des aliments'!$C$6:$W$966,13,FALSE))</f>
        <v xml:space="preserve"> </v>
      </c>
      <c r="Q23" s="12" t="str">
        <f>IF(ISBLANK($B23)," ",VLOOKUP($B23,'Liste des aliments'!$C$6:$W$966,14,FALSE))</f>
        <v xml:space="preserve"> </v>
      </c>
      <c r="R23" s="12" t="str">
        <f>IF(ISBLANK($B23)," ",VLOOKUP($B23,'Liste des aliments'!$C$6:$W$966,15,FALSE))</f>
        <v xml:space="preserve"> </v>
      </c>
      <c r="S23" s="12" t="str">
        <f>IF(ISBLANK($B23)," ",VLOOKUP($B23,'Liste des aliments'!$C$6:$W$966,16,FALSE))</f>
        <v xml:space="preserve"> </v>
      </c>
      <c r="T23" s="12" t="str">
        <f>IF(ISBLANK($B23)," ",VLOOKUP($B23,'Liste des aliments'!$C$6:$W$966,17,FALSE))</f>
        <v xml:space="preserve"> </v>
      </c>
      <c r="U23" s="12" t="str">
        <f>IF(ISBLANK($B23)," ",VLOOKUP($B23,'Liste des aliments'!$C$6:$W$966,18,FALSE))</f>
        <v xml:space="preserve"> </v>
      </c>
      <c r="V23" s="12" t="str">
        <f>IF(ISBLANK($B23)," ",VLOOKUP($B23,'Liste des aliments'!$C$6:$W$966,20,FALSE))</f>
        <v xml:space="preserve"> </v>
      </c>
      <c r="W23" s="107"/>
      <c r="AB23" s="411" t="s">
        <v>290</v>
      </c>
      <c r="AC23" s="411">
        <v>0</v>
      </c>
      <c r="AD23" s="411"/>
      <c r="AE23" s="411"/>
      <c r="AF23" s="411"/>
      <c r="AG23" s="411"/>
      <c r="AH23" s="411"/>
      <c r="AI23" s="411"/>
      <c r="AJ23" s="411"/>
      <c r="AK23" s="411"/>
      <c r="AL23" s="411"/>
      <c r="AM23" s="411"/>
      <c r="AN23" s="411"/>
      <c r="AO23" s="411"/>
      <c r="AP23" s="411"/>
      <c r="AQ23" s="411"/>
      <c r="AR23" s="1"/>
      <c r="AS23" s="1"/>
    </row>
    <row r="24" spans="1:45" ht="15.6">
      <c r="A24" s="432"/>
      <c r="B24" s="387"/>
      <c r="C24" s="89" t="str">
        <f>IF(ISBLANK(B24),"",INDEX('Liste des aliments'!$B$6:$B$966,MATCH(B24,'Liste des aliments'!$C$6:$C$966,0)))</f>
        <v/>
      </c>
      <c r="D24" s="138"/>
      <c r="E24" s="139"/>
      <c r="F24" s="13" t="str">
        <f>IF(ISBLANK($B24)," ",VLOOKUP($B24,'Liste des aliments'!$C$6:$W$966,2,FALSE))</f>
        <v xml:space="preserve"> </v>
      </c>
      <c r="G24" s="14" t="str">
        <f t="shared" si="2"/>
        <v xml:space="preserve"> </v>
      </c>
      <c r="H24" s="12" t="str">
        <f>IF(ISBLANK($B24)," ",VLOOKUP($B24,'Liste des aliments'!$C$6:$W$966,3,FALSE))</f>
        <v xml:space="preserve"> </v>
      </c>
      <c r="I24" s="12" t="str">
        <f>IF(ISBLANK($B24)," ",VLOOKUP($B24,'Liste des aliments'!$C$6:$W$966,5,FALSE))</f>
        <v xml:space="preserve"> </v>
      </c>
      <c r="J24" s="12" t="str">
        <f>IF(ISBLANK($B24)," ",VLOOKUP($B24,'Liste des aliments'!$C$6:$W$966,6,FALSE))</f>
        <v xml:space="preserve"> </v>
      </c>
      <c r="K24" s="14" t="str">
        <f>IF(ISBLANK($B24)," ",VLOOKUP($B24,'Liste des aliments'!$C$6:$W$966,7,FALSE))</f>
        <v xml:space="preserve"> </v>
      </c>
      <c r="L24" s="12" t="str">
        <f>IF(ISBLANK($B24)," ",VLOOKUP($B24,'Liste des aliments'!$C$6:$W$966,9,FALSE))</f>
        <v xml:space="preserve"> </v>
      </c>
      <c r="M24" s="12" t="str">
        <f>IF(ISBLANK($B24)," ",VLOOKUP($B24,'Liste des aliments'!$C$6:$W$966,10,FALSE))</f>
        <v xml:space="preserve"> </v>
      </c>
      <c r="N24" s="12" t="str">
        <f>IF(ISBLANK($B24)," ",VLOOKUP($B24,'Liste des aliments'!$C$6:$W$966,11,FALSE))</f>
        <v xml:space="preserve"> </v>
      </c>
      <c r="O24" s="13" t="str">
        <f>IF(ISBLANK($B24)," ",VLOOKUP($B24,'Liste des aliments'!$C$6:$W$966,12,FALSE))</f>
        <v xml:space="preserve"> </v>
      </c>
      <c r="P24" s="13" t="str">
        <f>IF(ISBLANK($B24)," ",VLOOKUP($B24,'Liste des aliments'!$C$6:$W$966,13,FALSE))</f>
        <v xml:space="preserve"> </v>
      </c>
      <c r="Q24" s="12" t="str">
        <f>IF(ISBLANK($B24)," ",VLOOKUP($B24,'Liste des aliments'!$C$6:$W$966,14,FALSE))</f>
        <v xml:space="preserve"> </v>
      </c>
      <c r="R24" s="12" t="str">
        <f>IF(ISBLANK($B24)," ",VLOOKUP($B24,'Liste des aliments'!$C$6:$W$966,15,FALSE))</f>
        <v xml:space="preserve"> </v>
      </c>
      <c r="S24" s="12" t="str">
        <f>IF(ISBLANK($B24)," ",VLOOKUP($B24,'Liste des aliments'!$C$6:$W$966,16,FALSE))</f>
        <v xml:space="preserve"> </v>
      </c>
      <c r="T24" s="12" t="str">
        <f>IF(ISBLANK($B24)," ",VLOOKUP($B24,'Liste des aliments'!$C$6:$W$966,17,FALSE))</f>
        <v xml:space="preserve"> </v>
      </c>
      <c r="U24" s="12" t="str">
        <f>IF(ISBLANK($B24)," ",VLOOKUP($B24,'Liste des aliments'!$C$6:$W$966,18,FALSE))</f>
        <v xml:space="preserve"> </v>
      </c>
      <c r="V24" s="12" t="str">
        <f>IF(ISBLANK($B24)," ",VLOOKUP($B24,'Liste des aliments'!$C$6:$W$966,20,FALSE))</f>
        <v xml:space="preserve"> </v>
      </c>
      <c r="W24" s="107"/>
      <c r="Z24" s="474"/>
      <c r="AB24" s="411" t="s">
        <v>292</v>
      </c>
      <c r="AC24" s="411">
        <v>1</v>
      </c>
      <c r="AD24" s="411"/>
      <c r="AE24" s="411"/>
      <c r="AF24" s="411"/>
      <c r="AG24" s="411"/>
      <c r="AH24" s="411"/>
      <c r="AI24" s="411"/>
      <c r="AJ24" s="411"/>
      <c r="AK24" s="411"/>
      <c r="AL24" s="411"/>
      <c r="AM24" s="411"/>
      <c r="AN24" s="411"/>
      <c r="AO24" s="411"/>
      <c r="AP24" s="411"/>
      <c r="AQ24" s="411"/>
      <c r="AR24" s="1"/>
      <c r="AS24" s="1"/>
    </row>
    <row r="25" spans="1:45" ht="14.4">
      <c r="A25" s="432"/>
      <c r="B25" s="387"/>
      <c r="C25" s="89" t="str">
        <f>IF(ISBLANK(B25),"",INDEX('Liste des aliments'!$B$6:$B$966,MATCH(B25,'Liste des aliments'!$C$6:$C$966,0)))</f>
        <v/>
      </c>
      <c r="D25" s="138"/>
      <c r="E25" s="139"/>
      <c r="F25" s="13" t="str">
        <f>IF(ISBLANK($B25)," ",VLOOKUP($B25,'Liste des aliments'!$C$6:$W$966,2,FALSE))</f>
        <v xml:space="preserve"> </v>
      </c>
      <c r="G25" s="14" t="str">
        <f t="shared" si="2"/>
        <v xml:space="preserve"> </v>
      </c>
      <c r="H25" s="12" t="str">
        <f>IF(ISBLANK($B25)," ",VLOOKUP($B25,'Liste des aliments'!$C$6:$W$966,3,FALSE))</f>
        <v xml:space="preserve"> </v>
      </c>
      <c r="I25" s="12" t="str">
        <f>IF(ISBLANK($B25)," ",VLOOKUP($B25,'Liste des aliments'!$C$6:$W$966,5,FALSE))</f>
        <v xml:space="preserve"> </v>
      </c>
      <c r="J25" s="12" t="str">
        <f>IF(ISBLANK($B25)," ",VLOOKUP($B25,'Liste des aliments'!$C$6:$W$966,6,FALSE))</f>
        <v xml:space="preserve"> </v>
      </c>
      <c r="K25" s="14" t="str">
        <f>IF(ISBLANK($B25)," ",VLOOKUP($B25,'Liste des aliments'!$C$6:$W$966,7,FALSE))</f>
        <v xml:space="preserve"> </v>
      </c>
      <c r="L25" s="12" t="str">
        <f>IF(ISBLANK($B25)," ",VLOOKUP($B25,'Liste des aliments'!$C$6:$W$966,9,FALSE))</f>
        <v xml:space="preserve"> </v>
      </c>
      <c r="M25" s="12" t="str">
        <f>IF(ISBLANK($B25)," ",VLOOKUP($B25,'Liste des aliments'!$C$6:$W$966,10,FALSE))</f>
        <v xml:space="preserve"> </v>
      </c>
      <c r="N25" s="12" t="str">
        <f>IF(ISBLANK($B25)," ",VLOOKUP($B25,'Liste des aliments'!$C$6:$W$966,11,FALSE))</f>
        <v xml:space="preserve"> </v>
      </c>
      <c r="O25" s="13" t="str">
        <f>IF(ISBLANK($B25)," ",VLOOKUP($B25,'Liste des aliments'!$C$6:$W$966,12,FALSE))</f>
        <v xml:space="preserve"> </v>
      </c>
      <c r="P25" s="13" t="str">
        <f>IF(ISBLANK($B25)," ",VLOOKUP($B25,'Liste des aliments'!$C$6:$W$966,13,FALSE))</f>
        <v xml:space="preserve"> </v>
      </c>
      <c r="Q25" s="12" t="str">
        <f>IF(ISBLANK($B25)," ",VLOOKUP($B25,'Liste des aliments'!$C$6:$W$966,14,FALSE))</f>
        <v xml:space="preserve"> </v>
      </c>
      <c r="R25" s="12" t="str">
        <f>IF(ISBLANK($B25)," ",VLOOKUP($B25,'Liste des aliments'!$C$6:$W$966,15,FALSE))</f>
        <v xml:space="preserve"> </v>
      </c>
      <c r="S25" s="12" t="str">
        <f>IF(ISBLANK($B25)," ",VLOOKUP($B25,'Liste des aliments'!$C$6:$W$966,16,FALSE))</f>
        <v xml:space="preserve"> </v>
      </c>
      <c r="T25" s="12" t="str">
        <f>IF(ISBLANK($B25)," ",VLOOKUP($B25,'Liste des aliments'!$C$6:$W$966,17,FALSE))</f>
        <v xml:space="preserve"> </v>
      </c>
      <c r="U25" s="12" t="str">
        <f>IF(ISBLANK($B25)," ",VLOOKUP($B25,'Liste des aliments'!$C$6:$W$966,18,FALSE))</f>
        <v xml:space="preserve"> </v>
      </c>
      <c r="V25" s="12" t="str">
        <f>IF(ISBLANK($B25)," ",VLOOKUP($B25,'Liste des aliments'!$C$6:$W$966,20,FALSE))</f>
        <v xml:space="preserve"> </v>
      </c>
      <c r="W25" s="107"/>
      <c r="Z25" s="476"/>
      <c r="AB25" s="411" t="s">
        <v>336</v>
      </c>
      <c r="AC25" s="411">
        <v>1</v>
      </c>
      <c r="AD25" s="411"/>
      <c r="AE25" s="411"/>
      <c r="AF25" s="411"/>
      <c r="AG25" s="411"/>
      <c r="AH25" s="411"/>
      <c r="AI25" s="411"/>
      <c r="AJ25" s="411"/>
      <c r="AK25" s="411"/>
      <c r="AL25" s="411"/>
      <c r="AM25" s="411"/>
      <c r="AN25" s="411"/>
      <c r="AO25" s="411"/>
      <c r="AP25" s="411"/>
      <c r="AQ25" s="411"/>
      <c r="AR25" s="1"/>
      <c r="AS25" s="1"/>
    </row>
    <row r="26" spans="1:45">
      <c r="A26" s="432"/>
      <c r="B26" s="387"/>
      <c r="C26" s="89" t="str">
        <f>IF(ISBLANK(B26),"",INDEX('Liste des aliments'!$B$6:$B$966,MATCH(B26,'Liste des aliments'!$C$6:$C$966,0)))</f>
        <v/>
      </c>
      <c r="D26" s="138"/>
      <c r="E26" s="139"/>
      <c r="F26" s="13" t="str">
        <f>IF(ISBLANK($B26)," ",VLOOKUP($B26,'Liste des aliments'!$C$6:$W$966,2,FALSE))</f>
        <v xml:space="preserve"> </v>
      </c>
      <c r="G26" s="14" t="str">
        <f t="shared" si="2"/>
        <v xml:space="preserve"> </v>
      </c>
      <c r="H26" s="12" t="str">
        <f>IF(ISBLANK($B26)," ",VLOOKUP($B26,'Liste des aliments'!$C$6:$W$966,3,FALSE))</f>
        <v xml:space="preserve"> </v>
      </c>
      <c r="I26" s="12" t="str">
        <f>IF(ISBLANK($B26)," ",VLOOKUP($B26,'Liste des aliments'!$C$6:$W$966,5,FALSE))</f>
        <v xml:space="preserve"> </v>
      </c>
      <c r="J26" s="12" t="str">
        <f>IF(ISBLANK($B26)," ",VLOOKUP($B26,'Liste des aliments'!$C$6:$W$966,6,FALSE))</f>
        <v xml:space="preserve"> </v>
      </c>
      <c r="K26" s="14" t="str">
        <f>IF(ISBLANK($B26)," ",VLOOKUP($B26,'Liste des aliments'!$C$6:$W$966,7,FALSE))</f>
        <v xml:space="preserve"> </v>
      </c>
      <c r="L26" s="12" t="str">
        <f>IF(ISBLANK($B26)," ",VLOOKUP($B26,'Liste des aliments'!$C$6:$W$966,9,FALSE))</f>
        <v xml:space="preserve"> </v>
      </c>
      <c r="M26" s="12" t="str">
        <f>IF(ISBLANK($B26)," ",VLOOKUP($B26,'Liste des aliments'!$C$6:$W$966,10,FALSE))</f>
        <v xml:space="preserve"> </v>
      </c>
      <c r="N26" s="12" t="str">
        <f>IF(ISBLANK($B26)," ",VLOOKUP($B26,'Liste des aliments'!$C$6:$W$966,11,FALSE))</f>
        <v xml:space="preserve"> </v>
      </c>
      <c r="O26" s="13" t="str">
        <f>IF(ISBLANK($B26)," ",VLOOKUP($B26,'Liste des aliments'!$C$6:$W$966,12,FALSE))</f>
        <v xml:space="preserve"> </v>
      </c>
      <c r="P26" s="13" t="str">
        <f>IF(ISBLANK($B26)," ",VLOOKUP($B26,'Liste des aliments'!$C$6:$W$966,13,FALSE))</f>
        <v xml:space="preserve"> </v>
      </c>
      <c r="Q26" s="12" t="str">
        <f>IF(ISBLANK($B26)," ",VLOOKUP($B26,'Liste des aliments'!$C$6:$W$966,14,FALSE))</f>
        <v xml:space="preserve"> </v>
      </c>
      <c r="R26" s="12" t="str">
        <f>IF(ISBLANK($B26)," ",VLOOKUP($B26,'Liste des aliments'!$C$6:$W$966,15,FALSE))</f>
        <v xml:space="preserve"> </v>
      </c>
      <c r="S26" s="12" t="str">
        <f>IF(ISBLANK($B26)," ",VLOOKUP($B26,'Liste des aliments'!$C$6:$W$966,16,FALSE))</f>
        <v xml:space="preserve"> </v>
      </c>
      <c r="T26" s="12" t="str">
        <f>IF(ISBLANK($B26)," ",VLOOKUP($B26,'Liste des aliments'!$C$6:$W$966,17,FALSE))</f>
        <v xml:space="preserve"> </v>
      </c>
      <c r="U26" s="12" t="str">
        <f>IF(ISBLANK($B26)," ",VLOOKUP($B26,'Liste des aliments'!$C$6:$W$966,18,FALSE))</f>
        <v xml:space="preserve"> </v>
      </c>
      <c r="V26" s="12" t="str">
        <f>IF(ISBLANK($B26)," ",VLOOKUP($B26,'Liste des aliments'!$C$6:$W$966,20,FALSE))</f>
        <v xml:space="preserve"> </v>
      </c>
      <c r="W26" s="107"/>
      <c r="AB26" s="411" t="s">
        <v>295</v>
      </c>
      <c r="AC26" s="411">
        <v>0</v>
      </c>
      <c r="AD26" s="411"/>
      <c r="AE26" s="411"/>
      <c r="AF26" s="411"/>
      <c r="AG26" s="411"/>
      <c r="AH26" s="411"/>
      <c r="AI26" s="411"/>
      <c r="AJ26" s="411"/>
      <c r="AK26" s="411"/>
      <c r="AL26" s="411"/>
      <c r="AM26" s="411"/>
      <c r="AN26" s="411"/>
      <c r="AO26" s="411"/>
      <c r="AP26" s="411"/>
      <c r="AQ26" s="411"/>
      <c r="AR26" s="1"/>
      <c r="AS26" s="1"/>
    </row>
    <row r="27" spans="1:45">
      <c r="A27" s="432"/>
      <c r="B27" s="387"/>
      <c r="C27" s="89" t="str">
        <f>IF(ISBLANK(B27),"",INDEX('Liste des aliments'!$B$6:$B$966,MATCH(B27,'Liste des aliments'!$C$6:$C$966,0)))</f>
        <v/>
      </c>
      <c r="D27" s="138"/>
      <c r="E27" s="139"/>
      <c r="F27" s="13" t="str">
        <f>IF(ISBLANK($B27)," ",VLOOKUP($B27,'Liste des aliments'!$C$6:$W$966,2,FALSE))</f>
        <v xml:space="preserve"> </v>
      </c>
      <c r="G27" s="14" t="str">
        <f t="shared" si="2"/>
        <v xml:space="preserve"> </v>
      </c>
      <c r="H27" s="12" t="str">
        <f>IF(ISBLANK($B27)," ",VLOOKUP($B27,'Liste des aliments'!$C$6:$W$966,3,FALSE))</f>
        <v xml:space="preserve"> </v>
      </c>
      <c r="I27" s="12" t="str">
        <f>IF(ISBLANK($B27)," ",VLOOKUP($B27,'Liste des aliments'!$C$6:$W$966,5,FALSE))</f>
        <v xml:space="preserve"> </v>
      </c>
      <c r="J27" s="12" t="str">
        <f>IF(ISBLANK($B27)," ",VLOOKUP($B27,'Liste des aliments'!$C$6:$W$966,6,FALSE))</f>
        <v xml:space="preserve"> </v>
      </c>
      <c r="K27" s="14" t="str">
        <f>IF(ISBLANK($B27)," ",VLOOKUP($B27,'Liste des aliments'!$C$6:$W$966,7,FALSE))</f>
        <v xml:space="preserve"> </v>
      </c>
      <c r="L27" s="12" t="str">
        <f>IF(ISBLANK($B27)," ",VLOOKUP($B27,'Liste des aliments'!$C$6:$W$966,9,FALSE))</f>
        <v xml:space="preserve"> </v>
      </c>
      <c r="M27" s="12" t="str">
        <f>IF(ISBLANK($B27)," ",VLOOKUP($B27,'Liste des aliments'!$C$6:$W$966,10,FALSE))</f>
        <v xml:space="preserve"> </v>
      </c>
      <c r="N27" s="12" t="str">
        <f>IF(ISBLANK($B27)," ",VLOOKUP($B27,'Liste des aliments'!$C$6:$W$966,11,FALSE))</f>
        <v xml:space="preserve"> </v>
      </c>
      <c r="O27" s="13" t="str">
        <f>IF(ISBLANK($B27)," ",VLOOKUP($B27,'Liste des aliments'!$C$6:$W$966,12,FALSE))</f>
        <v xml:space="preserve"> </v>
      </c>
      <c r="P27" s="13" t="str">
        <f>IF(ISBLANK($B27)," ",VLOOKUP($B27,'Liste des aliments'!$C$6:$W$966,13,FALSE))</f>
        <v xml:space="preserve"> </v>
      </c>
      <c r="Q27" s="12" t="str">
        <f>IF(ISBLANK($B27)," ",VLOOKUP($B27,'Liste des aliments'!$C$6:$W$966,14,FALSE))</f>
        <v xml:space="preserve"> </v>
      </c>
      <c r="R27" s="12" t="str">
        <f>IF(ISBLANK($B27)," ",VLOOKUP($B27,'Liste des aliments'!$C$6:$W$966,15,FALSE))</f>
        <v xml:space="preserve"> </v>
      </c>
      <c r="S27" s="12" t="str">
        <f>IF(ISBLANK($B27)," ",VLOOKUP($B27,'Liste des aliments'!$C$6:$W$966,16,FALSE))</f>
        <v xml:space="preserve"> </v>
      </c>
      <c r="T27" s="12" t="str">
        <f>IF(ISBLANK($B27)," ",VLOOKUP($B27,'Liste des aliments'!$C$6:$W$966,17,FALSE))</f>
        <v xml:space="preserve"> </v>
      </c>
      <c r="U27" s="12" t="str">
        <f>IF(ISBLANK($B27)," ",VLOOKUP($B27,'Liste des aliments'!$C$6:$W$966,18,FALSE))</f>
        <v xml:space="preserve"> </v>
      </c>
      <c r="V27" s="12" t="str">
        <f>IF(ISBLANK($B27)," ",VLOOKUP($B27,'Liste des aliments'!$C$6:$W$966,20,FALSE))</f>
        <v xml:space="preserve"> </v>
      </c>
      <c r="W27" s="107"/>
      <c r="AB27" s="411" t="s">
        <v>339</v>
      </c>
      <c r="AC27" s="411">
        <v>1</v>
      </c>
      <c r="AD27" s="411"/>
      <c r="AE27" s="411"/>
      <c r="AF27" s="411"/>
      <c r="AG27" s="411"/>
      <c r="AH27" s="411"/>
      <c r="AI27" s="411"/>
      <c r="AJ27" s="411"/>
      <c r="AK27" s="411"/>
      <c r="AL27" s="411"/>
      <c r="AM27" s="411"/>
      <c r="AN27" s="411"/>
      <c r="AO27" s="411"/>
      <c r="AP27" s="411"/>
      <c r="AQ27" s="411"/>
      <c r="AR27" s="1"/>
      <c r="AS27" s="1"/>
    </row>
    <row r="28" spans="1:45">
      <c r="A28" s="432"/>
      <c r="B28" s="387"/>
      <c r="C28" s="89" t="str">
        <f>IF(ISBLANK(B28),"",INDEX('Liste des aliments'!$B$6:$B$966,MATCH(B28,'Liste des aliments'!$C$6:$C$966,0)))</f>
        <v/>
      </c>
      <c r="D28" s="138"/>
      <c r="E28" s="139"/>
      <c r="F28" s="13" t="str">
        <f>IF(ISBLANK($B28)," ",VLOOKUP($B28,'Liste des aliments'!$C$6:$W$966,2,FALSE))</f>
        <v xml:space="preserve"> </v>
      </c>
      <c r="G28" s="14" t="str">
        <f t="shared" si="2"/>
        <v xml:space="preserve"> </v>
      </c>
      <c r="H28" s="12" t="str">
        <f>IF(ISBLANK($B28)," ",VLOOKUP($B28,'Liste des aliments'!$C$6:$W$966,3,FALSE))</f>
        <v xml:space="preserve"> </v>
      </c>
      <c r="I28" s="12" t="str">
        <f>IF(ISBLANK($B28)," ",VLOOKUP($B28,'Liste des aliments'!$C$6:$W$966,5,FALSE))</f>
        <v xml:space="preserve"> </v>
      </c>
      <c r="J28" s="12" t="str">
        <f>IF(ISBLANK($B28)," ",VLOOKUP($B28,'Liste des aliments'!$C$6:$W$966,6,FALSE))</f>
        <v xml:space="preserve"> </v>
      </c>
      <c r="K28" s="14" t="str">
        <f>IF(ISBLANK($B28)," ",VLOOKUP($B28,'Liste des aliments'!$C$6:$W$966,7,FALSE))</f>
        <v xml:space="preserve"> </v>
      </c>
      <c r="L28" s="12" t="str">
        <f>IF(ISBLANK($B28)," ",VLOOKUP($B28,'Liste des aliments'!$C$6:$W$966,9,FALSE))</f>
        <v xml:space="preserve"> </v>
      </c>
      <c r="M28" s="12" t="str">
        <f>IF(ISBLANK($B28)," ",VLOOKUP($B28,'Liste des aliments'!$C$6:$W$966,10,FALSE))</f>
        <v xml:space="preserve"> </v>
      </c>
      <c r="N28" s="12" t="str">
        <f>IF(ISBLANK($B28)," ",VLOOKUP($B28,'Liste des aliments'!$C$6:$W$966,11,FALSE))</f>
        <v xml:space="preserve"> </v>
      </c>
      <c r="O28" s="13" t="str">
        <f>IF(ISBLANK($B28)," ",VLOOKUP($B28,'Liste des aliments'!$C$6:$W$966,12,FALSE))</f>
        <v xml:space="preserve"> </v>
      </c>
      <c r="P28" s="13" t="str">
        <f>IF(ISBLANK($B28)," ",VLOOKUP($B28,'Liste des aliments'!$C$6:$W$966,13,FALSE))</f>
        <v xml:space="preserve"> </v>
      </c>
      <c r="Q28" s="12" t="str">
        <f>IF(ISBLANK($B28)," ",VLOOKUP($B28,'Liste des aliments'!$C$6:$W$966,14,FALSE))</f>
        <v xml:space="preserve"> </v>
      </c>
      <c r="R28" s="12" t="str">
        <f>IF(ISBLANK($B28)," ",VLOOKUP($B28,'Liste des aliments'!$C$6:$W$966,15,FALSE))</f>
        <v xml:space="preserve"> </v>
      </c>
      <c r="S28" s="12" t="str">
        <f>IF(ISBLANK($B28)," ",VLOOKUP($B28,'Liste des aliments'!$C$6:$W$966,16,FALSE))</f>
        <v xml:space="preserve"> </v>
      </c>
      <c r="T28" s="12" t="str">
        <f>IF(ISBLANK($B28)," ",VLOOKUP($B28,'Liste des aliments'!$C$6:$W$966,17,FALSE))</f>
        <v xml:space="preserve"> </v>
      </c>
      <c r="U28" s="12" t="str">
        <f>IF(ISBLANK($B28)," ",VLOOKUP($B28,'Liste des aliments'!$C$6:$W$966,18,FALSE))</f>
        <v xml:space="preserve"> </v>
      </c>
      <c r="V28" s="12" t="str">
        <f>IF(ISBLANK($B28)," ",VLOOKUP($B28,'Liste des aliments'!$C$6:$W$966,20,FALSE))</f>
        <v xml:space="preserve"> </v>
      </c>
      <c r="W28" s="107"/>
      <c r="AB28" s="411" t="s">
        <v>341</v>
      </c>
      <c r="AC28" s="411">
        <v>1</v>
      </c>
      <c r="AD28" s="411"/>
      <c r="AE28" s="411"/>
      <c r="AF28" s="411"/>
      <c r="AG28" s="411"/>
      <c r="AH28" s="411"/>
      <c r="AI28" s="411"/>
      <c r="AJ28" s="411"/>
      <c r="AK28" s="411"/>
      <c r="AL28" s="411"/>
      <c r="AM28" s="411"/>
      <c r="AN28" s="411"/>
      <c r="AO28" s="411"/>
      <c r="AP28" s="411"/>
      <c r="AQ28" s="411"/>
      <c r="AR28" s="1"/>
      <c r="AS28" s="1"/>
    </row>
    <row r="29" spans="1:45">
      <c r="A29" s="432"/>
      <c r="B29" s="387"/>
      <c r="C29" s="89" t="str">
        <f>IF(ISBLANK(B29),"",INDEX('Liste des aliments'!$B$6:$B$966,MATCH(B29,'Liste des aliments'!$C$6:$C$966,0)))</f>
        <v/>
      </c>
      <c r="D29" s="138"/>
      <c r="E29" s="139"/>
      <c r="F29" s="13" t="str">
        <f>IF(ISBLANK($B29)," ",VLOOKUP($B29,'Liste des aliments'!$C$6:$W$966,2,FALSE))</f>
        <v xml:space="preserve"> </v>
      </c>
      <c r="G29" s="14" t="str">
        <f t="shared" si="2"/>
        <v xml:space="preserve"> </v>
      </c>
      <c r="H29" s="12" t="str">
        <f>IF(ISBLANK($B29)," ",VLOOKUP($B29,'Liste des aliments'!$C$6:$W$966,3,FALSE))</f>
        <v xml:space="preserve"> </v>
      </c>
      <c r="I29" s="12" t="str">
        <f>IF(ISBLANK($B29)," ",VLOOKUP($B29,'Liste des aliments'!$C$6:$W$966,5,FALSE))</f>
        <v xml:space="preserve"> </v>
      </c>
      <c r="J29" s="12" t="str">
        <f>IF(ISBLANK($B29)," ",VLOOKUP($B29,'Liste des aliments'!$C$6:$W$966,6,FALSE))</f>
        <v xml:space="preserve"> </v>
      </c>
      <c r="K29" s="14" t="str">
        <f>IF(ISBLANK($B29)," ",VLOOKUP($B29,'Liste des aliments'!$C$6:$W$966,7,FALSE))</f>
        <v xml:space="preserve"> </v>
      </c>
      <c r="L29" s="12" t="str">
        <f>IF(ISBLANK($B29)," ",VLOOKUP($B29,'Liste des aliments'!$C$6:$W$966,9,FALSE))</f>
        <v xml:space="preserve"> </v>
      </c>
      <c r="M29" s="12" t="str">
        <f>IF(ISBLANK($B29)," ",VLOOKUP($B29,'Liste des aliments'!$C$6:$W$966,10,FALSE))</f>
        <v xml:space="preserve"> </v>
      </c>
      <c r="N29" s="12" t="str">
        <f>IF(ISBLANK($B29)," ",VLOOKUP($B29,'Liste des aliments'!$C$6:$W$966,11,FALSE))</f>
        <v xml:space="preserve"> </v>
      </c>
      <c r="O29" s="13" t="str">
        <f>IF(ISBLANK($B29)," ",VLOOKUP($B29,'Liste des aliments'!$C$6:$W$966,12,FALSE))</f>
        <v xml:space="preserve"> </v>
      </c>
      <c r="P29" s="13" t="str">
        <f>IF(ISBLANK($B29)," ",VLOOKUP($B29,'Liste des aliments'!$C$6:$W$966,13,FALSE))</f>
        <v xml:space="preserve"> </v>
      </c>
      <c r="Q29" s="12" t="str">
        <f>IF(ISBLANK($B29)," ",VLOOKUP($B29,'Liste des aliments'!$C$6:$W$966,14,FALSE))</f>
        <v xml:space="preserve"> </v>
      </c>
      <c r="R29" s="12" t="str">
        <f>IF(ISBLANK($B29)," ",VLOOKUP($B29,'Liste des aliments'!$C$6:$W$966,15,FALSE))</f>
        <v xml:space="preserve"> </v>
      </c>
      <c r="S29" s="12" t="str">
        <f>IF(ISBLANK($B29)," ",VLOOKUP($B29,'Liste des aliments'!$C$6:$W$966,16,FALSE))</f>
        <v xml:space="preserve"> </v>
      </c>
      <c r="T29" s="12" t="str">
        <f>IF(ISBLANK($B29)," ",VLOOKUP($B29,'Liste des aliments'!$C$6:$W$966,17,FALSE))</f>
        <v xml:space="preserve"> </v>
      </c>
      <c r="U29" s="12" t="str">
        <f>IF(ISBLANK($B29)," ",VLOOKUP($B29,'Liste des aliments'!$C$6:$W$966,18,FALSE))</f>
        <v xml:space="preserve"> </v>
      </c>
      <c r="V29" s="12" t="str">
        <f>IF(ISBLANK($B29)," ",VLOOKUP($B29,'Liste des aliments'!$C$6:$W$966,20,FALSE))</f>
        <v xml:space="preserve"> </v>
      </c>
      <c r="W29" s="107"/>
      <c r="AB29" s="411" t="s">
        <v>343</v>
      </c>
      <c r="AC29" s="411">
        <v>0</v>
      </c>
      <c r="AD29" s="411"/>
      <c r="AE29" s="411"/>
      <c r="AF29" s="411"/>
      <c r="AG29" s="411"/>
      <c r="AH29" s="411"/>
      <c r="AI29" s="411"/>
      <c r="AJ29" s="411"/>
      <c r="AK29" s="411"/>
      <c r="AL29" s="411"/>
      <c r="AM29" s="411"/>
      <c r="AN29" s="411"/>
      <c r="AO29" s="411"/>
      <c r="AP29" s="411"/>
      <c r="AQ29" s="411"/>
      <c r="AR29" s="1"/>
      <c r="AS29" s="1"/>
    </row>
    <row r="30" spans="1:45">
      <c r="A30" s="432"/>
      <c r="B30" s="387"/>
      <c r="C30" s="89" t="str">
        <f>IF(ISBLANK(B30),"",INDEX('Liste des aliments'!$B$6:$B$966,MATCH(B30,'Liste des aliments'!$C$6:$C$966,0)))</f>
        <v/>
      </c>
      <c r="D30" s="138"/>
      <c r="E30" s="139"/>
      <c r="F30" s="13" t="str">
        <f>IF(ISBLANK($B30)," ",VLOOKUP($B30,'Liste des aliments'!$C$6:$W$966,2,FALSE))</f>
        <v xml:space="preserve"> </v>
      </c>
      <c r="G30" s="14" t="str">
        <f t="shared" si="2"/>
        <v xml:space="preserve"> </v>
      </c>
      <c r="H30" s="12" t="str">
        <f>IF(ISBLANK($B30)," ",VLOOKUP($B30,'Liste des aliments'!$C$6:$W$966,3,FALSE))</f>
        <v xml:space="preserve"> </v>
      </c>
      <c r="I30" s="12" t="str">
        <f>IF(ISBLANK($B30)," ",VLOOKUP($B30,'Liste des aliments'!$C$6:$W$966,5,FALSE))</f>
        <v xml:space="preserve"> </v>
      </c>
      <c r="J30" s="12" t="str">
        <f>IF(ISBLANK($B30)," ",VLOOKUP($B30,'Liste des aliments'!$C$6:$W$966,6,FALSE))</f>
        <v xml:space="preserve"> </v>
      </c>
      <c r="K30" s="14" t="str">
        <f>IF(ISBLANK($B30)," ",VLOOKUP($B30,'Liste des aliments'!$C$6:$W$966,7,FALSE))</f>
        <v xml:space="preserve"> </v>
      </c>
      <c r="L30" s="12" t="str">
        <f>IF(ISBLANK($B30)," ",VLOOKUP($B30,'Liste des aliments'!$C$6:$W$966,9,FALSE))</f>
        <v xml:space="preserve"> </v>
      </c>
      <c r="M30" s="12" t="str">
        <f>IF(ISBLANK($B30)," ",VLOOKUP($B30,'Liste des aliments'!$C$6:$W$966,10,FALSE))</f>
        <v xml:space="preserve"> </v>
      </c>
      <c r="N30" s="12" t="str">
        <f>IF(ISBLANK($B30)," ",VLOOKUP($B30,'Liste des aliments'!$C$6:$W$966,11,FALSE))</f>
        <v xml:space="preserve"> </v>
      </c>
      <c r="O30" s="13" t="str">
        <f>IF(ISBLANK($B30)," ",VLOOKUP($B30,'Liste des aliments'!$C$6:$W$966,12,FALSE))</f>
        <v xml:space="preserve"> </v>
      </c>
      <c r="P30" s="13" t="str">
        <f>IF(ISBLANK($B30)," ",VLOOKUP($B30,'Liste des aliments'!$C$6:$W$966,13,FALSE))</f>
        <v xml:space="preserve"> </v>
      </c>
      <c r="Q30" s="12" t="str">
        <f>IF(ISBLANK($B30)," ",VLOOKUP($B30,'Liste des aliments'!$C$6:$W$966,14,FALSE))</f>
        <v xml:space="preserve"> </v>
      </c>
      <c r="R30" s="12" t="str">
        <f>IF(ISBLANK($B30)," ",VLOOKUP($B30,'Liste des aliments'!$C$6:$W$966,15,FALSE))</f>
        <v xml:space="preserve"> </v>
      </c>
      <c r="S30" s="12" t="str">
        <f>IF(ISBLANK($B30)," ",VLOOKUP($B30,'Liste des aliments'!$C$6:$W$966,16,FALSE))</f>
        <v xml:space="preserve"> </v>
      </c>
      <c r="T30" s="12" t="str">
        <f>IF(ISBLANK($B30)," ",VLOOKUP($B30,'Liste des aliments'!$C$6:$W$966,17,FALSE))</f>
        <v xml:space="preserve"> </v>
      </c>
      <c r="U30" s="12" t="str">
        <f>IF(ISBLANK($B30)," ",VLOOKUP($B30,'Liste des aliments'!$C$6:$W$966,18,FALSE))</f>
        <v xml:space="preserve"> </v>
      </c>
      <c r="V30" s="12" t="str">
        <f>IF(ISBLANK($B30)," ",VLOOKUP($B30,'Liste des aliments'!$C$6:$W$966,20,FALSE))</f>
        <v xml:space="preserve"> </v>
      </c>
      <c r="W30" s="107"/>
      <c r="AB30" s="411" t="s">
        <v>308</v>
      </c>
      <c r="AC30" s="411">
        <v>0</v>
      </c>
      <c r="AD30" s="411"/>
      <c r="AE30" s="411"/>
      <c r="AF30" s="411"/>
      <c r="AG30" s="411"/>
      <c r="AH30" s="411"/>
      <c r="AI30" s="411"/>
      <c r="AJ30" s="411"/>
      <c r="AK30" s="411"/>
      <c r="AL30" s="411"/>
      <c r="AM30" s="411"/>
      <c r="AN30" s="411"/>
      <c r="AO30" s="411"/>
      <c r="AP30" s="411"/>
      <c r="AQ30" s="411"/>
      <c r="AR30" s="1"/>
      <c r="AS30" s="1"/>
    </row>
    <row r="31" spans="1:45">
      <c r="A31" s="432"/>
      <c r="B31" s="387"/>
      <c r="C31" s="89" t="str">
        <f>IF(ISBLANK(B31),"",INDEX('Liste des aliments'!$B$6:$B$966,MATCH(B31,'Liste des aliments'!$C$6:$C$966,0)))</f>
        <v/>
      </c>
      <c r="D31" s="138"/>
      <c r="E31" s="139"/>
      <c r="F31" s="13" t="str">
        <f>IF(ISBLANK($B31)," ",VLOOKUP($B31,'Liste des aliments'!$C$6:$W$966,2,FALSE))</f>
        <v xml:space="preserve"> </v>
      </c>
      <c r="G31" s="14" t="str">
        <f t="shared" si="2"/>
        <v xml:space="preserve"> </v>
      </c>
      <c r="H31" s="12" t="str">
        <f>IF(ISBLANK($B31)," ",VLOOKUP($B31,'Liste des aliments'!$C$6:$W$966,3,FALSE))</f>
        <v xml:space="preserve"> </v>
      </c>
      <c r="I31" s="12" t="str">
        <f>IF(ISBLANK($B31)," ",VLOOKUP($B31,'Liste des aliments'!$C$6:$W$966,5,FALSE))</f>
        <v xml:space="preserve"> </v>
      </c>
      <c r="J31" s="12" t="str">
        <f>IF(ISBLANK($B31)," ",VLOOKUP($B31,'Liste des aliments'!$C$6:$W$966,6,FALSE))</f>
        <v xml:space="preserve"> </v>
      </c>
      <c r="K31" s="14" t="str">
        <f>IF(ISBLANK($B31)," ",VLOOKUP($B31,'Liste des aliments'!$C$6:$W$966,7,FALSE))</f>
        <v xml:space="preserve"> </v>
      </c>
      <c r="L31" s="12" t="str">
        <f>IF(ISBLANK($B31)," ",VLOOKUP($B31,'Liste des aliments'!$C$6:$W$966,9,FALSE))</f>
        <v xml:space="preserve"> </v>
      </c>
      <c r="M31" s="12" t="str">
        <f>IF(ISBLANK($B31)," ",VLOOKUP($B31,'Liste des aliments'!$C$6:$W$966,10,FALSE))</f>
        <v xml:space="preserve"> </v>
      </c>
      <c r="N31" s="12" t="str">
        <f>IF(ISBLANK($B31)," ",VLOOKUP($B31,'Liste des aliments'!$C$6:$W$966,11,FALSE))</f>
        <v xml:space="preserve"> </v>
      </c>
      <c r="O31" s="13" t="str">
        <f>IF(ISBLANK($B31)," ",VLOOKUP($B31,'Liste des aliments'!$C$6:$W$966,12,FALSE))</f>
        <v xml:space="preserve"> </v>
      </c>
      <c r="P31" s="13" t="str">
        <f>IF(ISBLANK($B31)," ",VLOOKUP($B31,'Liste des aliments'!$C$6:$W$966,13,FALSE))</f>
        <v xml:space="preserve"> </v>
      </c>
      <c r="Q31" s="12" t="str">
        <f>IF(ISBLANK($B31)," ",VLOOKUP($B31,'Liste des aliments'!$C$6:$W$966,14,FALSE))</f>
        <v xml:space="preserve"> </v>
      </c>
      <c r="R31" s="12" t="str">
        <f>IF(ISBLANK($B31)," ",VLOOKUP($B31,'Liste des aliments'!$C$6:$W$966,15,FALSE))</f>
        <v xml:space="preserve"> </v>
      </c>
      <c r="S31" s="12" t="str">
        <f>IF(ISBLANK($B31)," ",VLOOKUP($B31,'Liste des aliments'!$C$6:$W$966,16,FALSE))</f>
        <v xml:space="preserve"> </v>
      </c>
      <c r="T31" s="12" t="str">
        <f>IF(ISBLANK($B31)," ",VLOOKUP($B31,'Liste des aliments'!$C$6:$W$966,17,FALSE))</f>
        <v xml:space="preserve"> </v>
      </c>
      <c r="U31" s="12" t="str">
        <f>IF(ISBLANK($B31)," ",VLOOKUP($B31,'Liste des aliments'!$C$6:$W$966,18,FALSE))</f>
        <v xml:space="preserve"> </v>
      </c>
      <c r="V31" s="12" t="str">
        <f>IF(ISBLANK($B31)," ",VLOOKUP($B31,'Liste des aliments'!$C$6:$W$966,20,FALSE))</f>
        <v xml:space="preserve"> </v>
      </c>
      <c r="W31" s="107"/>
      <c r="AB31" s="411"/>
      <c r="AC31" s="411"/>
      <c r="AD31" s="411"/>
      <c r="AE31" s="411"/>
      <c r="AF31" s="411"/>
      <c r="AG31" s="411"/>
      <c r="AH31" s="411"/>
      <c r="AI31" s="411"/>
      <c r="AJ31" s="411"/>
      <c r="AK31" s="411"/>
      <c r="AL31" s="411"/>
      <c r="AM31" s="411"/>
      <c r="AN31" s="411"/>
      <c r="AO31" s="411"/>
      <c r="AP31" s="411"/>
      <c r="AQ31" s="411"/>
      <c r="AR31" s="1"/>
      <c r="AS31" s="1"/>
    </row>
    <row r="32" spans="1:45">
      <c r="A32" s="432"/>
      <c r="B32" s="387"/>
      <c r="C32" s="89" t="str">
        <f>IF(ISBLANK(B32),"",INDEX('Liste des aliments'!$B$6:$B$966,MATCH(B32,'Liste des aliments'!$C$6:$C$966,0)))</f>
        <v/>
      </c>
      <c r="D32" s="138"/>
      <c r="E32" s="139"/>
      <c r="F32" s="13" t="str">
        <f>IF(ISBLANK($B32)," ",VLOOKUP($B32,'Liste des aliments'!$C$6:$W$966,2,FALSE))</f>
        <v xml:space="preserve"> </v>
      </c>
      <c r="G32" s="14" t="str">
        <f t="shared" si="2"/>
        <v xml:space="preserve"> </v>
      </c>
      <c r="H32" s="12" t="str">
        <f>IF(ISBLANK($B32)," ",VLOOKUP($B32,'Liste des aliments'!$C$6:$W$966,3,FALSE))</f>
        <v xml:space="preserve"> </v>
      </c>
      <c r="I32" s="12" t="str">
        <f>IF(ISBLANK($B32)," ",VLOOKUP($B32,'Liste des aliments'!$C$6:$W$966,5,FALSE))</f>
        <v xml:space="preserve"> </v>
      </c>
      <c r="J32" s="12" t="str">
        <f>IF(ISBLANK($B32)," ",VLOOKUP($B32,'Liste des aliments'!$C$6:$W$966,6,FALSE))</f>
        <v xml:space="preserve"> </v>
      </c>
      <c r="K32" s="14" t="str">
        <f>IF(ISBLANK($B32)," ",VLOOKUP($B32,'Liste des aliments'!$C$6:$W$966,7,FALSE))</f>
        <v xml:space="preserve"> </v>
      </c>
      <c r="L32" s="12" t="str">
        <f>IF(ISBLANK($B32)," ",VLOOKUP($B32,'Liste des aliments'!$C$6:$W$966,9,FALSE))</f>
        <v xml:space="preserve"> </v>
      </c>
      <c r="M32" s="12" t="str">
        <f>IF(ISBLANK($B32)," ",VLOOKUP($B32,'Liste des aliments'!$C$6:$W$966,10,FALSE))</f>
        <v xml:space="preserve"> </v>
      </c>
      <c r="N32" s="12" t="str">
        <f>IF(ISBLANK($B32)," ",VLOOKUP($B32,'Liste des aliments'!$C$6:$W$966,11,FALSE))</f>
        <v xml:space="preserve"> </v>
      </c>
      <c r="O32" s="13" t="str">
        <f>IF(ISBLANK($B32)," ",VLOOKUP($B32,'Liste des aliments'!$C$6:$W$966,12,FALSE))</f>
        <v xml:space="preserve"> </v>
      </c>
      <c r="P32" s="13" t="str">
        <f>IF(ISBLANK($B32)," ",VLOOKUP($B32,'Liste des aliments'!$C$6:$W$966,13,FALSE))</f>
        <v xml:space="preserve"> </v>
      </c>
      <c r="Q32" s="12" t="str">
        <f>IF(ISBLANK($B32)," ",VLOOKUP($B32,'Liste des aliments'!$C$6:$W$966,14,FALSE))</f>
        <v xml:space="preserve"> </v>
      </c>
      <c r="R32" s="12" t="str">
        <f>IF(ISBLANK($B32)," ",VLOOKUP($B32,'Liste des aliments'!$C$6:$W$966,15,FALSE))</f>
        <v xml:space="preserve"> </v>
      </c>
      <c r="S32" s="12" t="str">
        <f>IF(ISBLANK($B32)," ",VLOOKUP($B32,'Liste des aliments'!$C$6:$W$966,16,FALSE))</f>
        <v xml:space="preserve"> </v>
      </c>
      <c r="T32" s="12" t="str">
        <f>IF(ISBLANK($B32)," ",VLOOKUP($B32,'Liste des aliments'!$C$6:$W$966,17,FALSE))</f>
        <v xml:space="preserve"> </v>
      </c>
      <c r="U32" s="12" t="str">
        <f>IF(ISBLANK($B32)," ",VLOOKUP($B32,'Liste des aliments'!$C$6:$W$966,18,FALSE))</f>
        <v xml:space="preserve"> </v>
      </c>
      <c r="V32" s="12" t="str">
        <f>IF(ISBLANK($B32)," ",VLOOKUP($B32,'Liste des aliments'!$C$6:$W$966,20,FALSE))</f>
        <v xml:space="preserve"> </v>
      </c>
      <c r="W32" s="107"/>
      <c r="AB32" s="411"/>
      <c r="AC32" s="411"/>
      <c r="AD32" s="411"/>
      <c r="AE32" s="411"/>
      <c r="AF32" s="411"/>
      <c r="AG32" s="411"/>
      <c r="AH32" s="411"/>
      <c r="AI32" s="411"/>
      <c r="AJ32" s="411"/>
      <c r="AK32" s="411"/>
      <c r="AL32" s="411"/>
      <c r="AM32" s="411"/>
      <c r="AN32" s="411"/>
      <c r="AO32" s="411"/>
      <c r="AP32" s="411"/>
      <c r="AQ32" s="411"/>
      <c r="AR32" s="1"/>
      <c r="AS32" s="1"/>
    </row>
    <row r="33" spans="1:45">
      <c r="A33" s="432"/>
      <c r="B33" s="387"/>
      <c r="C33" s="89" t="str">
        <f>IF(ISBLANK(B33),"",INDEX('Liste des aliments'!$B$6:$B$966,MATCH(B33,'Liste des aliments'!$C$6:$C$966,0)))</f>
        <v/>
      </c>
      <c r="D33" s="138"/>
      <c r="E33" s="139"/>
      <c r="F33" s="13" t="str">
        <f>IF(ISBLANK($B33)," ",VLOOKUP($B33,'Liste des aliments'!$C$6:$W$966,2,FALSE))</f>
        <v xml:space="preserve"> </v>
      </c>
      <c r="G33" s="14" t="str">
        <f t="shared" si="2"/>
        <v xml:space="preserve"> </v>
      </c>
      <c r="H33" s="12" t="str">
        <f>IF(ISBLANK($B33)," ",VLOOKUP($B33,'Liste des aliments'!$C$6:$W$966,3,FALSE))</f>
        <v xml:space="preserve"> </v>
      </c>
      <c r="I33" s="12" t="str">
        <f>IF(ISBLANK($B33)," ",VLOOKUP($B33,'Liste des aliments'!$C$6:$W$966,5,FALSE))</f>
        <v xml:space="preserve"> </v>
      </c>
      <c r="J33" s="12" t="str">
        <f>IF(ISBLANK($B33)," ",VLOOKUP($B33,'Liste des aliments'!$C$6:$W$966,6,FALSE))</f>
        <v xml:space="preserve"> </v>
      </c>
      <c r="K33" s="14" t="str">
        <f>IF(ISBLANK($B33)," ",VLOOKUP($B33,'Liste des aliments'!$C$6:$W$966,7,FALSE))</f>
        <v xml:space="preserve"> </v>
      </c>
      <c r="L33" s="12" t="str">
        <f>IF(ISBLANK($B33)," ",VLOOKUP($B33,'Liste des aliments'!$C$6:$W$966,9,FALSE))</f>
        <v xml:space="preserve"> </v>
      </c>
      <c r="M33" s="12" t="str">
        <f>IF(ISBLANK($B33)," ",VLOOKUP($B33,'Liste des aliments'!$C$6:$W$966,10,FALSE))</f>
        <v xml:space="preserve"> </v>
      </c>
      <c r="N33" s="12" t="str">
        <f>IF(ISBLANK($B33)," ",VLOOKUP($B33,'Liste des aliments'!$C$6:$W$966,11,FALSE))</f>
        <v xml:space="preserve"> </v>
      </c>
      <c r="O33" s="13" t="str">
        <f>IF(ISBLANK($B33)," ",VLOOKUP($B33,'Liste des aliments'!$C$6:$W$966,12,FALSE))</f>
        <v xml:space="preserve"> </v>
      </c>
      <c r="P33" s="13" t="str">
        <f>IF(ISBLANK($B33)," ",VLOOKUP($B33,'Liste des aliments'!$C$6:$W$966,13,FALSE))</f>
        <v xml:space="preserve"> </v>
      </c>
      <c r="Q33" s="12" t="str">
        <f>IF(ISBLANK($B33)," ",VLOOKUP($B33,'Liste des aliments'!$C$6:$W$966,14,FALSE))</f>
        <v xml:space="preserve"> </v>
      </c>
      <c r="R33" s="12" t="str">
        <f>IF(ISBLANK($B33)," ",VLOOKUP($B33,'Liste des aliments'!$C$6:$W$966,15,FALSE))</f>
        <v xml:space="preserve"> </v>
      </c>
      <c r="S33" s="12" t="str">
        <f>IF(ISBLANK($B33)," ",VLOOKUP($B33,'Liste des aliments'!$C$6:$W$966,16,FALSE))</f>
        <v xml:space="preserve"> </v>
      </c>
      <c r="T33" s="12" t="str">
        <f>IF(ISBLANK($B33)," ",VLOOKUP($B33,'Liste des aliments'!$C$6:$W$966,17,FALSE))</f>
        <v xml:space="preserve"> </v>
      </c>
      <c r="U33" s="12" t="str">
        <f>IF(ISBLANK($B33)," ",VLOOKUP($B33,'Liste des aliments'!$C$6:$W$966,18,FALSE))</f>
        <v xml:space="preserve"> </v>
      </c>
      <c r="V33" s="12" t="str">
        <f>IF(ISBLANK($B33)," ",VLOOKUP($B33,'Liste des aliments'!$C$6:$W$966,20,FALSE))</f>
        <v xml:space="preserve"> </v>
      </c>
      <c r="W33" s="107"/>
      <c r="AB33" s="411" t="s">
        <v>346</v>
      </c>
      <c r="AC33" s="411"/>
      <c r="AD33" s="411" t="s">
        <v>347</v>
      </c>
      <c r="AE33" s="411"/>
      <c r="AF33" s="411"/>
      <c r="AG33" s="411"/>
      <c r="AH33" s="411"/>
      <c r="AI33" s="411"/>
      <c r="AJ33" s="411"/>
      <c r="AK33" s="411"/>
      <c r="AL33" s="411"/>
      <c r="AM33" s="411"/>
      <c r="AN33" s="411"/>
      <c r="AO33" s="411"/>
      <c r="AP33" s="411"/>
      <c r="AQ33" s="411"/>
      <c r="AR33" s="1"/>
      <c r="AS33" s="1"/>
    </row>
    <row r="34" spans="1:45">
      <c r="A34" s="432"/>
      <c r="B34" s="387"/>
      <c r="C34" s="89" t="str">
        <f>IF(ISBLANK(B34),"",INDEX('Liste des aliments'!$B$6:$B$966,MATCH(B34,'Liste des aliments'!$C$6:$C$966,0)))</f>
        <v/>
      </c>
      <c r="D34" s="138"/>
      <c r="E34" s="139"/>
      <c r="F34" s="13" t="str">
        <f>IF(ISBLANK($B34)," ",VLOOKUP($B34,'Liste des aliments'!$C$6:$W$966,2,FALSE))</f>
        <v xml:space="preserve"> </v>
      </c>
      <c r="G34" s="14" t="str">
        <f t="shared" si="2"/>
        <v xml:space="preserve"> </v>
      </c>
      <c r="H34" s="12" t="str">
        <f>IF(ISBLANK($B34)," ",VLOOKUP($B34,'Liste des aliments'!$C$6:$W$966,3,FALSE))</f>
        <v xml:space="preserve"> </v>
      </c>
      <c r="I34" s="12" t="str">
        <f>IF(ISBLANK($B34)," ",VLOOKUP($B34,'Liste des aliments'!$C$6:$W$966,5,FALSE))</f>
        <v xml:space="preserve"> </v>
      </c>
      <c r="J34" s="12" t="str">
        <f>IF(ISBLANK($B34)," ",VLOOKUP($B34,'Liste des aliments'!$C$6:$W$966,6,FALSE))</f>
        <v xml:space="preserve"> </v>
      </c>
      <c r="K34" s="14" t="str">
        <f>IF(ISBLANK($B34)," ",VLOOKUP($B34,'Liste des aliments'!$C$6:$W$966,7,FALSE))</f>
        <v xml:space="preserve"> </v>
      </c>
      <c r="L34" s="12" t="str">
        <f>IF(ISBLANK($B34)," ",VLOOKUP($B34,'Liste des aliments'!$C$6:$W$966,9,FALSE))</f>
        <v xml:space="preserve"> </v>
      </c>
      <c r="M34" s="12" t="str">
        <f>IF(ISBLANK($B34)," ",VLOOKUP($B34,'Liste des aliments'!$C$6:$W$966,10,FALSE))</f>
        <v xml:space="preserve"> </v>
      </c>
      <c r="N34" s="12" t="str">
        <f>IF(ISBLANK($B34)," ",VLOOKUP($B34,'Liste des aliments'!$C$6:$W$966,11,FALSE))</f>
        <v xml:space="preserve"> </v>
      </c>
      <c r="O34" s="13" t="str">
        <f>IF(ISBLANK($B34)," ",VLOOKUP($B34,'Liste des aliments'!$C$6:$W$966,12,FALSE))</f>
        <v xml:space="preserve"> </v>
      </c>
      <c r="P34" s="13" t="str">
        <f>IF(ISBLANK($B34)," ",VLOOKUP($B34,'Liste des aliments'!$C$6:$W$966,13,FALSE))</f>
        <v xml:space="preserve"> </v>
      </c>
      <c r="Q34" s="12" t="str">
        <f>IF(ISBLANK($B34)," ",VLOOKUP($B34,'Liste des aliments'!$C$6:$W$966,14,FALSE))</f>
        <v xml:space="preserve"> </v>
      </c>
      <c r="R34" s="12" t="str">
        <f>IF(ISBLANK($B34)," ",VLOOKUP($B34,'Liste des aliments'!$C$6:$W$966,15,FALSE))</f>
        <v xml:space="preserve"> </v>
      </c>
      <c r="S34" s="12" t="str">
        <f>IF(ISBLANK($B34)," ",VLOOKUP($B34,'Liste des aliments'!$C$6:$W$966,16,FALSE))</f>
        <v xml:space="preserve"> </v>
      </c>
      <c r="T34" s="12" t="str">
        <f>IF(ISBLANK($B34)," ",VLOOKUP($B34,'Liste des aliments'!$C$6:$W$966,17,FALSE))</f>
        <v xml:space="preserve"> </v>
      </c>
      <c r="U34" s="12" t="str">
        <f>IF(ISBLANK($B34)," ",VLOOKUP($B34,'Liste des aliments'!$C$6:$W$966,18,FALSE))</f>
        <v xml:space="preserve"> </v>
      </c>
      <c r="V34" s="12" t="str">
        <f>IF(ISBLANK($B34)," ",VLOOKUP($B34,'Liste des aliments'!$C$6:$W$966,20,FALSE))</f>
        <v xml:space="preserve"> </v>
      </c>
      <c r="W34" s="107"/>
      <c r="AB34" s="411" t="s">
        <v>348</v>
      </c>
      <c r="AC34" s="411">
        <f>VLOOKUP(D9,AB23:AC30,2)</f>
        <v>1</v>
      </c>
      <c r="AD34" s="411">
        <f>IF(AC34=0,1,0.95)</f>
        <v>0.95</v>
      </c>
      <c r="AE34" s="411"/>
      <c r="AF34" s="411"/>
      <c r="AG34" s="411"/>
      <c r="AH34" s="411"/>
      <c r="AI34" s="411"/>
      <c r="AJ34" s="411"/>
      <c r="AK34" s="411"/>
      <c r="AL34" s="411"/>
      <c r="AM34" s="411"/>
      <c r="AN34" s="411"/>
      <c r="AO34" s="411"/>
      <c r="AP34" s="411"/>
      <c r="AQ34" s="411"/>
      <c r="AR34" s="1"/>
      <c r="AS34" s="1"/>
    </row>
    <row r="35" spans="1:45">
      <c r="A35" s="432"/>
      <c r="B35" s="387"/>
      <c r="C35" s="89" t="str">
        <f>IF(ISBLANK(B35),"",INDEX('Liste des aliments'!$B$6:$B$966,MATCH(B35,'Liste des aliments'!$C$6:$C$966,0)))</f>
        <v/>
      </c>
      <c r="D35" s="138"/>
      <c r="E35" s="139"/>
      <c r="F35" s="13" t="str">
        <f>IF(ISBLANK($B35)," ",VLOOKUP($B35,'Liste des aliments'!$C$6:$W$966,2,FALSE))</f>
        <v xml:space="preserve"> </v>
      </c>
      <c r="G35" s="14" t="str">
        <f t="shared" si="2"/>
        <v xml:space="preserve"> </v>
      </c>
      <c r="H35" s="12" t="str">
        <f>IF(ISBLANK($B35)," ",VLOOKUP($B35,'Liste des aliments'!$C$6:$W$966,3,FALSE))</f>
        <v xml:space="preserve"> </v>
      </c>
      <c r="I35" s="12" t="str">
        <f>IF(ISBLANK($B35)," ",VLOOKUP($B35,'Liste des aliments'!$C$6:$W$966,5,FALSE))</f>
        <v xml:space="preserve"> </v>
      </c>
      <c r="J35" s="12" t="str">
        <f>IF(ISBLANK($B35)," ",VLOOKUP($B35,'Liste des aliments'!$C$6:$W$966,6,FALSE))</f>
        <v xml:space="preserve"> </v>
      </c>
      <c r="K35" s="14" t="str">
        <f>IF(ISBLANK($B35)," ",VLOOKUP($B35,'Liste des aliments'!$C$6:$W$966,7,FALSE))</f>
        <v xml:space="preserve"> </v>
      </c>
      <c r="L35" s="12" t="str">
        <f>IF(ISBLANK($B35)," ",VLOOKUP($B35,'Liste des aliments'!$C$6:$W$966,9,FALSE))</f>
        <v xml:space="preserve"> </v>
      </c>
      <c r="M35" s="12" t="str">
        <f>IF(ISBLANK($B35)," ",VLOOKUP($B35,'Liste des aliments'!$C$6:$W$966,10,FALSE))</f>
        <v xml:space="preserve"> </v>
      </c>
      <c r="N35" s="12" t="str">
        <f>IF(ISBLANK($B35)," ",VLOOKUP($B35,'Liste des aliments'!$C$6:$W$966,11,FALSE))</f>
        <v xml:space="preserve"> </v>
      </c>
      <c r="O35" s="13" t="str">
        <f>IF(ISBLANK($B35)," ",VLOOKUP($B35,'Liste des aliments'!$C$6:$W$966,12,FALSE))</f>
        <v xml:space="preserve"> </v>
      </c>
      <c r="P35" s="13" t="str">
        <f>IF(ISBLANK($B35)," ",VLOOKUP($B35,'Liste des aliments'!$C$6:$W$966,13,FALSE))</f>
        <v xml:space="preserve"> </v>
      </c>
      <c r="Q35" s="12" t="str">
        <f>IF(ISBLANK($B35)," ",VLOOKUP($B35,'Liste des aliments'!$C$6:$W$966,14,FALSE))</f>
        <v xml:space="preserve"> </v>
      </c>
      <c r="R35" s="12" t="str">
        <f>IF(ISBLANK($B35)," ",VLOOKUP($B35,'Liste des aliments'!$C$6:$W$966,15,FALSE))</f>
        <v xml:space="preserve"> </v>
      </c>
      <c r="S35" s="12" t="str">
        <f>IF(ISBLANK($B35)," ",VLOOKUP($B35,'Liste des aliments'!$C$6:$W$966,16,FALSE))</f>
        <v xml:space="preserve"> </v>
      </c>
      <c r="T35" s="12" t="str">
        <f>IF(ISBLANK($B35)," ",VLOOKUP($B35,'Liste des aliments'!$C$6:$W$966,17,FALSE))</f>
        <v xml:space="preserve"> </v>
      </c>
      <c r="U35" s="12" t="str">
        <f>IF(ISBLANK($B35)," ",VLOOKUP($B35,'Liste des aliments'!$C$6:$W$966,18,FALSE))</f>
        <v xml:space="preserve"> </v>
      </c>
      <c r="V35" s="12" t="str">
        <f>IF(ISBLANK($B35)," ",VLOOKUP($B35,'Liste des aliments'!$C$6:$W$966,20,FALSE))</f>
        <v xml:space="preserve"> </v>
      </c>
      <c r="W35" s="107"/>
      <c r="AB35" s="411" t="s">
        <v>349</v>
      </c>
      <c r="AC35" s="411"/>
      <c r="AD35" s="411" cm="1">
        <f t="array" ref="AD35">_xlfn.IFS(D13=AK10,1.02,D13=AK14,0.95,D13=AK11,1,D13=AK12,1,D13=AK13,1)</f>
        <v>1.02</v>
      </c>
      <c r="AE35" s="411"/>
      <c r="AF35" s="411"/>
      <c r="AG35" s="411"/>
      <c r="AH35" s="411"/>
      <c r="AI35" s="411"/>
      <c r="AJ35" s="411"/>
      <c r="AK35" s="411"/>
      <c r="AL35" s="411"/>
      <c r="AM35" s="411"/>
      <c r="AN35" s="411"/>
      <c r="AO35" s="411"/>
      <c r="AP35" s="411"/>
      <c r="AQ35" s="411"/>
      <c r="AR35" s="1"/>
      <c r="AS35" s="1"/>
    </row>
    <row r="36" spans="1:45" ht="14.4" thickBot="1">
      <c r="A36" s="432"/>
      <c r="B36" s="388"/>
      <c r="C36" s="15" t="str">
        <f>IF(ISBLANK(B36),"",INDEX('Liste des aliments'!$B$6:$B$966,MATCH(B36,'Liste des aliments'!$C$6:$C$966,0)))</f>
        <v/>
      </c>
      <c r="D36" s="143"/>
      <c r="E36" s="144"/>
      <c r="F36" s="3" t="str">
        <f>IF(ISBLANK($B36)," ",VLOOKUP($B36,'Liste des aliments'!$C$6:$W$966,2,FALSE))</f>
        <v xml:space="preserve"> </v>
      </c>
      <c r="G36" s="10" t="str">
        <f t="shared" si="2"/>
        <v xml:space="preserve"> </v>
      </c>
      <c r="H36" s="4" t="str">
        <f>IF(ISBLANK($B36)," ",VLOOKUP($B36,'Liste des aliments'!$C$6:$W$966,3,FALSE))</f>
        <v xml:space="preserve"> </v>
      </c>
      <c r="I36" s="4" t="str">
        <f>IF(ISBLANK($B36)," ",VLOOKUP($B36,'Liste des aliments'!$C$6:$W$966,5,FALSE))</f>
        <v xml:space="preserve"> </v>
      </c>
      <c r="J36" s="4" t="str">
        <f>IF(ISBLANK($B36)," ",VLOOKUP($B36,'Liste des aliments'!$C$6:$W$966,6,FALSE))</f>
        <v xml:space="preserve"> </v>
      </c>
      <c r="K36" s="10" t="str">
        <f>IF(ISBLANK($B36)," ",VLOOKUP($B36,'Liste des aliments'!$C$6:$W$966,7,FALSE))</f>
        <v xml:space="preserve"> </v>
      </c>
      <c r="L36" s="4" t="str">
        <f>IF(ISBLANK($B36)," ",VLOOKUP($B36,'Liste des aliments'!$C$6:$W$966,9,FALSE))</f>
        <v xml:space="preserve"> </v>
      </c>
      <c r="M36" s="4" t="str">
        <f>IF(ISBLANK($B36)," ",VLOOKUP($B36,'Liste des aliments'!$C$6:$W$966,10,FALSE))</f>
        <v xml:space="preserve"> </v>
      </c>
      <c r="N36" s="4" t="str">
        <f>IF(ISBLANK($B36)," ",VLOOKUP($B36,'Liste des aliments'!$C$6:$W$966,11,FALSE))</f>
        <v xml:space="preserve"> </v>
      </c>
      <c r="O36" s="3" t="str">
        <f>IF(ISBLANK($B36)," ",VLOOKUP($B36,'Liste des aliments'!$C$6:$W$966,12,FALSE))</f>
        <v xml:space="preserve"> </v>
      </c>
      <c r="P36" s="3" t="str">
        <f>IF(ISBLANK($B36)," ",VLOOKUP($B36,'Liste des aliments'!$C$6:$W$966,13,FALSE))</f>
        <v xml:space="preserve"> </v>
      </c>
      <c r="Q36" s="4" t="str">
        <f>IF(ISBLANK($B36)," ",VLOOKUP($B36,'Liste des aliments'!$C$6:$W$966,14,FALSE))</f>
        <v xml:space="preserve"> </v>
      </c>
      <c r="R36" s="4" t="str">
        <f>IF(ISBLANK($B36)," ",VLOOKUP($B36,'Liste des aliments'!$C$6:$W$966,15,FALSE))</f>
        <v xml:space="preserve"> </v>
      </c>
      <c r="S36" s="4" t="str">
        <f>IF(ISBLANK($B36)," ",VLOOKUP($B36,'Liste des aliments'!$C$6:$W$966,16,FALSE))</f>
        <v xml:space="preserve"> </v>
      </c>
      <c r="T36" s="4" t="str">
        <f>IF(ISBLANK($B36)," ",VLOOKUP($B36,'Liste des aliments'!$C$6:$W$966,17,FALSE))</f>
        <v xml:space="preserve"> </v>
      </c>
      <c r="U36" s="4" t="str">
        <f>IF(ISBLANK($B36)," ",VLOOKUP($B36,'Liste des aliments'!$C$6:$W$966,18,FALSE))</f>
        <v xml:space="preserve"> </v>
      </c>
      <c r="V36" s="4" t="str">
        <f>IF(ISBLANK($B36)," ",VLOOKUP($B36,'Liste des aliments'!$C$6:$W$966,20,FALSE))</f>
        <v xml:space="preserve"> </v>
      </c>
      <c r="W36" s="108"/>
      <c r="AB36" s="411" t="s">
        <v>350</v>
      </c>
      <c r="AC36" s="411"/>
      <c r="AD36" s="411">
        <f>IF(D14=1,0.88,1)</f>
        <v>1</v>
      </c>
      <c r="AE36" s="411"/>
      <c r="AF36" s="411"/>
      <c r="AG36" s="411"/>
      <c r="AH36" s="411"/>
      <c r="AI36" s="411"/>
      <c r="AJ36" s="411"/>
      <c r="AK36" s="411"/>
      <c r="AL36" s="411"/>
      <c r="AM36" s="411"/>
      <c r="AN36" s="411"/>
      <c r="AO36" s="411"/>
      <c r="AP36" s="411"/>
      <c r="AQ36" s="411"/>
      <c r="AR36" s="1"/>
      <c r="AS36" s="1"/>
    </row>
    <row r="37" spans="1:45">
      <c r="G37" s="109" t="str">
        <f t="shared" ref="G37" si="3">IF($A37&gt;0,(D37*E37/100)," ")</f>
        <v xml:space="preserve"> </v>
      </c>
      <c r="AB37" s="411" t="s">
        <v>351</v>
      </c>
      <c r="AC37" s="411"/>
      <c r="AD37" s="411">
        <f>IF(D10=AJ10,0.0015,0.002)</f>
        <v>1.5E-3</v>
      </c>
      <c r="AE37" s="411"/>
      <c r="AF37" s="411"/>
      <c r="AG37" s="411"/>
      <c r="AH37" s="411"/>
      <c r="AI37" s="411"/>
      <c r="AJ37" s="411"/>
      <c r="AK37" s="411"/>
      <c r="AL37" s="411"/>
      <c r="AM37" s="411"/>
      <c r="AN37" s="411"/>
      <c r="AO37" s="411"/>
      <c r="AP37" s="411"/>
      <c r="AQ37" s="411"/>
      <c r="AR37" s="1"/>
      <c r="AS37" s="1"/>
    </row>
    <row r="38" spans="1:45" ht="16.2" thickBot="1">
      <c r="B38" s="11" t="s">
        <v>195</v>
      </c>
      <c r="C38" s="1"/>
      <c r="D38" s="1"/>
      <c r="E38" s="1"/>
      <c r="F38" s="1"/>
      <c r="G38" s="1"/>
      <c r="H38" s="1"/>
      <c r="I38" s="1"/>
      <c r="J38" s="1"/>
      <c r="K38" s="1"/>
      <c r="L38" s="1"/>
      <c r="M38" s="1"/>
      <c r="N38" s="1"/>
      <c r="O38" s="1"/>
      <c r="P38" s="1"/>
      <c r="Q38" s="1"/>
      <c r="R38" s="776" t="s">
        <v>196</v>
      </c>
      <c r="S38" s="776"/>
      <c r="T38" s="776"/>
      <c r="U38" s="776"/>
      <c r="V38" s="43"/>
      <c r="W38" s="1"/>
      <c r="AB38" s="411"/>
      <c r="AC38" s="411"/>
      <c r="AD38" s="411"/>
      <c r="AE38" s="411"/>
      <c r="AF38" s="411"/>
      <c r="AG38" s="411"/>
      <c r="AH38" s="411"/>
      <c r="AI38" s="411"/>
      <c r="AJ38" s="411"/>
      <c r="AK38" s="411"/>
      <c r="AL38" s="411"/>
      <c r="AM38" s="411"/>
      <c r="AN38" s="411"/>
      <c r="AO38" s="411"/>
      <c r="AP38" s="411"/>
      <c r="AQ38" s="411"/>
      <c r="AR38" s="1"/>
      <c r="AS38" s="1"/>
    </row>
    <row r="39" spans="1:45" ht="14.4" thickBot="1">
      <c r="B39" s="2"/>
      <c r="C39" s="1"/>
      <c r="D39" s="59" t="s">
        <v>188</v>
      </c>
      <c r="E39" s="60" t="s">
        <v>197</v>
      </c>
      <c r="F39" s="60"/>
      <c r="G39" s="60" t="s">
        <v>191</v>
      </c>
      <c r="H39" s="60" t="s">
        <v>42</v>
      </c>
      <c r="I39" s="60" t="s">
        <v>44</v>
      </c>
      <c r="J39" s="60" t="s">
        <v>45</v>
      </c>
      <c r="K39" s="60" t="s">
        <v>46</v>
      </c>
      <c r="L39" s="60" t="s">
        <v>48</v>
      </c>
      <c r="M39" s="60" t="s">
        <v>49</v>
      </c>
      <c r="N39" s="60" t="s">
        <v>50</v>
      </c>
      <c r="O39" s="60" t="s">
        <v>51</v>
      </c>
      <c r="P39" s="60" t="s">
        <v>52</v>
      </c>
      <c r="Q39" s="60" t="s">
        <v>192</v>
      </c>
      <c r="R39" s="61" t="s">
        <v>54</v>
      </c>
      <c r="S39" s="61" t="s">
        <v>198</v>
      </c>
      <c r="T39" s="61" t="s">
        <v>56</v>
      </c>
      <c r="U39" s="61" t="s">
        <v>57</v>
      </c>
      <c r="V39" s="61" t="s">
        <v>59</v>
      </c>
      <c r="W39" s="62" t="s">
        <v>194</v>
      </c>
      <c r="AB39" s="411" t="s">
        <v>352</v>
      </c>
      <c r="AC39" s="411"/>
      <c r="AD39" s="411"/>
      <c r="AE39" s="411"/>
      <c r="AF39" s="411"/>
      <c r="AG39" s="411"/>
      <c r="AH39" s="411"/>
      <c r="AI39" s="411"/>
      <c r="AJ39" s="411"/>
      <c r="AK39" s="411"/>
      <c r="AL39" s="411"/>
      <c r="AM39" s="411"/>
      <c r="AN39" s="411"/>
      <c r="AO39" s="411"/>
      <c r="AP39" s="411"/>
      <c r="AQ39" s="411"/>
      <c r="AR39" s="1"/>
      <c r="AS39" s="1"/>
    </row>
    <row r="40" spans="1:45" ht="18" customHeight="1">
      <c r="B40" s="93" t="s">
        <v>199</v>
      </c>
      <c r="C40" s="520"/>
      <c r="D40" s="521">
        <f>SUM(D21:D36)</f>
        <v>0</v>
      </c>
      <c r="E40" s="353" t="e">
        <f>G40/D40*100</f>
        <v>#DIV/0!</v>
      </c>
      <c r="F40" s="354"/>
      <c r="G40" s="355">
        <f>SUM(G21:G36)</f>
        <v>0</v>
      </c>
      <c r="H40" s="356">
        <f>H76</f>
        <v>0</v>
      </c>
      <c r="I40" s="356">
        <f>I76</f>
        <v>0</v>
      </c>
      <c r="J40" s="356">
        <f t="shared" ref="J40:W40" si="4">J76</f>
        <v>0</v>
      </c>
      <c r="K40" s="356">
        <f t="shared" si="4"/>
        <v>0</v>
      </c>
      <c r="L40" s="356">
        <f t="shared" si="4"/>
        <v>0</v>
      </c>
      <c r="M40" s="356">
        <f t="shared" si="4"/>
        <v>0</v>
      </c>
      <c r="N40" s="356">
        <f t="shared" si="4"/>
        <v>0</v>
      </c>
      <c r="O40" s="356">
        <f t="shared" si="4"/>
        <v>0</v>
      </c>
      <c r="P40" s="356">
        <f t="shared" si="4"/>
        <v>0</v>
      </c>
      <c r="Q40" s="356">
        <f t="shared" si="4"/>
        <v>0</v>
      </c>
      <c r="R40" s="357">
        <f t="shared" si="4"/>
        <v>0</v>
      </c>
      <c r="S40" s="357">
        <f t="shared" si="4"/>
        <v>0</v>
      </c>
      <c r="T40" s="357">
        <f t="shared" si="4"/>
        <v>0</v>
      </c>
      <c r="U40" s="357">
        <f t="shared" si="4"/>
        <v>0</v>
      </c>
      <c r="V40" s="357">
        <f t="shared" si="4"/>
        <v>0</v>
      </c>
      <c r="W40" s="358">
        <f t="shared" si="4"/>
        <v>0</v>
      </c>
      <c r="AB40" s="411" t="s">
        <v>349</v>
      </c>
      <c r="AC40" s="411"/>
      <c r="AD40" s="411">
        <f>IF(D10=AJ10,0.041,0.037)</f>
        <v>4.1000000000000002E-2</v>
      </c>
      <c r="AE40" s="411"/>
      <c r="AF40" s="411"/>
      <c r="AG40" s="411"/>
      <c r="AH40" s="411"/>
      <c r="AI40" s="411"/>
      <c r="AJ40" s="411"/>
      <c r="AK40" s="411"/>
      <c r="AL40" s="411"/>
      <c r="AM40" s="411"/>
      <c r="AN40" s="411"/>
      <c r="AO40" s="411"/>
      <c r="AP40" s="411"/>
      <c r="AQ40" s="411"/>
      <c r="AR40" s="1"/>
      <c r="AS40" s="1"/>
    </row>
    <row r="41" spans="1:45" ht="18" customHeight="1">
      <c r="B41" s="95" t="s">
        <v>200</v>
      </c>
      <c r="C41" s="522"/>
      <c r="D41" s="44"/>
      <c r="E41" s="44"/>
      <c r="F41" s="44"/>
      <c r="G41" s="56">
        <v>1</v>
      </c>
      <c r="H41" s="57" t="e">
        <f t="shared" ref="H41:W41" si="5">H40/$G$40</f>
        <v>#DIV/0!</v>
      </c>
      <c r="I41" s="57" t="e">
        <f t="shared" si="5"/>
        <v>#DIV/0!</v>
      </c>
      <c r="J41" s="57" t="e">
        <f t="shared" si="5"/>
        <v>#DIV/0!</v>
      </c>
      <c r="K41" s="58" t="e">
        <f t="shared" si="5"/>
        <v>#DIV/0!</v>
      </c>
      <c r="L41" s="57" t="e">
        <f t="shared" si="5"/>
        <v>#DIV/0!</v>
      </c>
      <c r="M41" s="57" t="e">
        <f t="shared" si="5"/>
        <v>#DIV/0!</v>
      </c>
      <c r="N41" s="57" t="e">
        <f t="shared" si="5"/>
        <v>#DIV/0!</v>
      </c>
      <c r="O41" s="56" t="e">
        <f t="shared" si="5"/>
        <v>#DIV/0!</v>
      </c>
      <c r="P41" s="56" t="e">
        <f t="shared" si="5"/>
        <v>#DIV/0!</v>
      </c>
      <c r="Q41" s="57" t="e">
        <f t="shared" si="5"/>
        <v>#DIV/0!</v>
      </c>
      <c r="R41" s="75" t="e">
        <f t="shared" si="5"/>
        <v>#DIV/0!</v>
      </c>
      <c r="S41" s="75" t="e">
        <f t="shared" si="5"/>
        <v>#DIV/0!</v>
      </c>
      <c r="T41" s="75" t="e">
        <f t="shared" si="5"/>
        <v>#DIV/0!</v>
      </c>
      <c r="U41" s="75" t="e">
        <f t="shared" si="5"/>
        <v>#DIV/0!</v>
      </c>
      <c r="V41" s="75" t="e">
        <f t="shared" si="5"/>
        <v>#DIV/0!</v>
      </c>
      <c r="W41" s="404" t="e">
        <f t="shared" si="5"/>
        <v>#DIV/0!</v>
      </c>
      <c r="AB41" s="411" t="s">
        <v>353</v>
      </c>
      <c r="AC41" s="411"/>
      <c r="AD41" s="411">
        <f>VLOOKUP(D11,AN10:AO12,2)</f>
        <v>1.2</v>
      </c>
      <c r="AE41" s="411"/>
      <c r="AF41" s="411"/>
      <c r="AG41" s="411"/>
      <c r="AH41" s="411"/>
      <c r="AI41" s="411"/>
      <c r="AJ41" s="411"/>
      <c r="AK41" s="411"/>
      <c r="AL41" s="411"/>
      <c r="AM41" s="411"/>
      <c r="AN41" s="411"/>
      <c r="AO41" s="411"/>
      <c r="AP41" s="411"/>
      <c r="AQ41" s="411"/>
      <c r="AR41" s="1"/>
      <c r="AS41" s="1"/>
    </row>
    <row r="42" spans="1:45" ht="14.4" thickBot="1">
      <c r="B42" s="97" t="s">
        <v>260</v>
      </c>
      <c r="C42" s="259"/>
      <c r="D42" s="523"/>
      <c r="E42" s="523"/>
      <c r="F42" s="523"/>
      <c r="G42" s="524">
        <f>G40/H14</f>
        <v>0</v>
      </c>
      <c r="H42" s="524">
        <f>H40/J14</f>
        <v>0</v>
      </c>
      <c r="I42" s="524">
        <f>I40/K14</f>
        <v>0</v>
      </c>
      <c r="J42" s="525"/>
      <c r="K42" s="524">
        <f>K40/N14</f>
        <v>0</v>
      </c>
      <c r="L42" s="524">
        <f>L40/O14</f>
        <v>0</v>
      </c>
      <c r="M42" s="524">
        <f>M40/P14</f>
        <v>0</v>
      </c>
      <c r="N42" s="525"/>
      <c r="O42" s="524">
        <f>O40/L14</f>
        <v>0</v>
      </c>
      <c r="P42" s="524">
        <f>P40/M14</f>
        <v>0</v>
      </c>
      <c r="Q42" s="523"/>
      <c r="R42" s="523"/>
      <c r="S42" s="523"/>
      <c r="T42" s="523"/>
      <c r="U42" s="523"/>
      <c r="V42" s="523"/>
      <c r="W42" s="526"/>
      <c r="AB42" s="411" t="s">
        <v>258</v>
      </c>
      <c r="AC42" s="411"/>
      <c r="AD42" s="411">
        <f>VLOOKUP(D13,AK10:AL14,2)</f>
        <v>0</v>
      </c>
      <c r="AE42" s="411"/>
      <c r="AF42" s="411"/>
      <c r="AG42" s="411"/>
      <c r="AH42" s="411"/>
      <c r="AI42" s="411"/>
      <c r="AJ42" s="411"/>
      <c r="AK42" s="411"/>
      <c r="AL42" s="411"/>
      <c r="AM42" s="411"/>
      <c r="AN42" s="411"/>
      <c r="AO42" s="411"/>
      <c r="AP42" s="411"/>
      <c r="AQ42" s="411"/>
      <c r="AR42" s="1"/>
      <c r="AS42" s="1"/>
    </row>
    <row r="43" spans="1:45">
      <c r="A43" s="431"/>
      <c r="B43" s="431"/>
      <c r="C43" s="431"/>
      <c r="D43" s="146"/>
      <c r="E43" s="146"/>
      <c r="F43" s="146"/>
      <c r="G43" s="146"/>
      <c r="H43" s="146"/>
      <c r="I43" s="146"/>
      <c r="J43" s="146"/>
      <c r="K43" s="146"/>
      <c r="L43" s="146"/>
      <c r="M43" s="146"/>
      <c r="N43" s="146"/>
      <c r="O43" s="146"/>
      <c r="P43" s="146"/>
      <c r="Q43" s="146"/>
      <c r="R43" s="146"/>
      <c r="S43" s="146"/>
      <c r="T43" s="146"/>
      <c r="U43" s="146"/>
      <c r="V43" s="146"/>
      <c r="W43" s="490"/>
      <c r="AB43" s="411"/>
      <c r="AC43" s="411"/>
      <c r="AD43" s="411"/>
      <c r="AE43" s="411"/>
      <c r="AF43" s="411"/>
      <c r="AG43" s="411"/>
      <c r="AH43" s="411"/>
      <c r="AI43" s="411"/>
      <c r="AJ43" s="411"/>
      <c r="AK43" s="411"/>
      <c r="AL43" s="411"/>
      <c r="AM43" s="411"/>
      <c r="AN43" s="411"/>
      <c r="AO43" s="411"/>
      <c r="AP43" s="411"/>
      <c r="AQ43" s="411"/>
      <c r="AR43" s="1"/>
      <c r="AS43" s="1"/>
    </row>
    <row r="44" spans="1:45">
      <c r="B44" s="787" t="s">
        <v>205</v>
      </c>
      <c r="C44" s="787"/>
      <c r="Q44" s="151" t="s">
        <v>203</v>
      </c>
      <c r="R44" s="152">
        <v>0</v>
      </c>
      <c r="S44" s="152">
        <v>180</v>
      </c>
      <c r="T44" s="152">
        <v>350</v>
      </c>
      <c r="U44" s="153">
        <v>210</v>
      </c>
      <c r="V44" s="154"/>
      <c r="AB44" s="411" t="s">
        <v>354</v>
      </c>
      <c r="AC44" s="411"/>
      <c r="AD44" s="411"/>
      <c r="AE44" s="411"/>
      <c r="AF44" s="411"/>
      <c r="AG44" s="411"/>
      <c r="AH44" s="411"/>
      <c r="AI44" s="411"/>
      <c r="AJ44" s="411"/>
      <c r="AK44" s="411"/>
      <c r="AL44" s="411"/>
      <c r="AM44" s="411"/>
      <c r="AN44" s="411"/>
      <c r="AO44" s="411"/>
      <c r="AP44" s="411"/>
      <c r="AQ44" s="411"/>
      <c r="AR44" s="1"/>
      <c r="AS44" s="1"/>
    </row>
    <row r="45" spans="1:45">
      <c r="B45" s="373" t="s">
        <v>206</v>
      </c>
      <c r="C45" s="374"/>
      <c r="K45" s="303"/>
      <c r="Q45" s="157" t="s">
        <v>204</v>
      </c>
      <c r="R45" s="158">
        <v>220</v>
      </c>
      <c r="S45" s="158"/>
      <c r="T45" s="158"/>
      <c r="U45" s="159"/>
      <c r="V45" s="160">
        <v>40</v>
      </c>
      <c r="AB45" s="411" t="s">
        <v>355</v>
      </c>
      <c r="AC45" s="411"/>
      <c r="AD45" s="411" cm="1">
        <f t="array" ref="AD45">_xlfn.IFS(D13=7,85,D13=AK10,92,D13=6,90,D13=8,85,D13=9,85)</f>
        <v>92</v>
      </c>
      <c r="AE45" s="411"/>
      <c r="AF45" s="411"/>
      <c r="AG45" s="411"/>
      <c r="AH45" s="411"/>
      <c r="AI45" s="411"/>
      <c r="AJ45" s="411"/>
      <c r="AK45" s="411"/>
      <c r="AL45" s="411"/>
      <c r="AM45" s="411"/>
      <c r="AN45" s="411"/>
      <c r="AO45" s="411"/>
      <c r="AP45" s="411"/>
      <c r="AQ45" s="411"/>
      <c r="AR45" s="1"/>
      <c r="AS45" s="1"/>
    </row>
    <row r="46" spans="1:45">
      <c r="B46" s="373" t="s">
        <v>207</v>
      </c>
      <c r="C46" s="375"/>
      <c r="AB46" s="411"/>
      <c r="AC46" s="411"/>
      <c r="AD46" s="411"/>
      <c r="AE46" s="411"/>
      <c r="AF46" s="411"/>
      <c r="AG46" s="411"/>
      <c r="AH46" s="411"/>
      <c r="AI46" s="411"/>
      <c r="AJ46" s="411"/>
      <c r="AK46" s="411"/>
      <c r="AL46" s="411"/>
      <c r="AM46" s="411"/>
      <c r="AN46" s="411"/>
      <c r="AO46" s="411"/>
      <c r="AP46" s="411"/>
      <c r="AQ46" s="411"/>
      <c r="AR46" s="1"/>
      <c r="AS46" s="1"/>
    </row>
    <row r="47" spans="1:45">
      <c r="B47" s="373" t="s">
        <v>208</v>
      </c>
      <c r="C47" s="376"/>
      <c r="AB47" s="411"/>
      <c r="AC47" s="411"/>
      <c r="AD47" s="411"/>
      <c r="AE47" s="411"/>
      <c r="AF47" s="411"/>
      <c r="AG47" s="411"/>
      <c r="AH47" s="411"/>
      <c r="AI47" s="411"/>
      <c r="AJ47" s="411"/>
      <c r="AK47" s="411"/>
      <c r="AL47" s="411"/>
      <c r="AM47" s="411"/>
      <c r="AN47" s="411"/>
      <c r="AO47" s="411"/>
      <c r="AP47" s="411"/>
      <c r="AQ47" s="411"/>
      <c r="AR47" s="1"/>
      <c r="AS47" s="1"/>
    </row>
    <row r="48" spans="1:45">
      <c r="B48" s="1"/>
      <c r="C48" s="1"/>
      <c r="R48" s="145"/>
      <c r="S48" s="147"/>
      <c r="AB48" s="411"/>
      <c r="AC48" s="411"/>
      <c r="AD48" s="411"/>
      <c r="AE48" s="411"/>
      <c r="AF48" s="411"/>
      <c r="AG48" s="411"/>
      <c r="AH48" s="411"/>
      <c r="AI48" s="411"/>
      <c r="AJ48" s="411"/>
      <c r="AK48" s="411"/>
      <c r="AL48" s="411"/>
      <c r="AM48" s="411"/>
      <c r="AN48" s="411"/>
      <c r="AO48" s="411"/>
      <c r="AP48" s="411"/>
      <c r="AQ48" s="411"/>
      <c r="AR48" s="1"/>
      <c r="AS48" s="1"/>
    </row>
    <row r="49" spans="1:45">
      <c r="S49" s="147"/>
      <c r="AB49" s="411"/>
      <c r="AC49" s="411"/>
      <c r="AD49" s="411"/>
      <c r="AE49" s="411"/>
      <c r="AF49" s="411"/>
      <c r="AG49" s="411"/>
      <c r="AH49" s="411"/>
      <c r="AI49" s="411"/>
      <c r="AJ49" s="411"/>
      <c r="AK49" s="411"/>
      <c r="AL49" s="411"/>
      <c r="AM49" s="411"/>
      <c r="AN49" s="411"/>
      <c r="AO49" s="411"/>
      <c r="AP49" s="411"/>
      <c r="AQ49" s="411"/>
      <c r="AR49" s="1"/>
      <c r="AS49" s="1"/>
    </row>
    <row r="50" spans="1:45">
      <c r="AB50" s="411"/>
      <c r="AC50" s="411"/>
      <c r="AD50" s="411"/>
      <c r="AE50" s="411"/>
      <c r="AF50" s="411"/>
      <c r="AG50" s="411"/>
      <c r="AH50" s="411"/>
      <c r="AI50" s="411"/>
      <c r="AJ50" s="411"/>
      <c r="AK50" s="411"/>
      <c r="AL50" s="411"/>
      <c r="AM50" s="411"/>
      <c r="AN50" s="411"/>
      <c r="AO50" s="411"/>
      <c r="AP50" s="411"/>
      <c r="AQ50" s="411"/>
      <c r="AR50" s="1"/>
      <c r="AS50" s="1"/>
    </row>
    <row r="51" spans="1:45">
      <c r="AB51" s="411"/>
      <c r="AC51" s="411"/>
      <c r="AD51" s="411"/>
      <c r="AE51" s="411"/>
      <c r="AF51" s="411"/>
      <c r="AG51" s="411"/>
      <c r="AH51" s="411"/>
      <c r="AI51" s="411"/>
      <c r="AJ51" s="411"/>
      <c r="AK51" s="411"/>
      <c r="AL51" s="411"/>
      <c r="AM51" s="411"/>
      <c r="AN51" s="411"/>
      <c r="AO51" s="411"/>
      <c r="AP51" s="411"/>
      <c r="AQ51" s="411"/>
      <c r="AR51" s="1"/>
      <c r="AS51" s="1"/>
    </row>
    <row r="52" spans="1:45" s="675" customFormat="1">
      <c r="Z52" s="295"/>
      <c r="AA52" s="295"/>
      <c r="AB52" s="411"/>
      <c r="AC52" s="411"/>
      <c r="AD52" s="411"/>
      <c r="AE52" s="411"/>
      <c r="AF52" s="411"/>
      <c r="AG52" s="411"/>
      <c r="AH52" s="411"/>
      <c r="AI52" s="411"/>
      <c r="AJ52" s="411"/>
      <c r="AK52" s="676"/>
      <c r="AL52" s="676"/>
      <c r="AM52" s="676"/>
      <c r="AN52" s="676"/>
      <c r="AO52" s="676"/>
      <c r="AP52" s="676"/>
      <c r="AQ52" s="676"/>
      <c r="AR52" s="676"/>
      <c r="AS52" s="676"/>
    </row>
    <row r="53" spans="1:45" s="675" customFormat="1">
      <c r="Z53" s="295"/>
      <c r="AA53" s="295"/>
      <c r="AB53" s="411"/>
      <c r="AC53" s="411"/>
      <c r="AD53" s="411"/>
      <c r="AE53" s="411"/>
      <c r="AF53" s="411"/>
      <c r="AG53" s="411"/>
      <c r="AH53" s="411"/>
      <c r="AI53" s="411"/>
      <c r="AJ53" s="411"/>
      <c r="AK53" s="676"/>
      <c r="AL53" s="676"/>
      <c r="AM53" s="676"/>
      <c r="AN53" s="676"/>
      <c r="AO53" s="676"/>
      <c r="AP53" s="676"/>
      <c r="AQ53" s="676"/>
      <c r="AR53" s="676"/>
      <c r="AS53" s="676"/>
    </row>
    <row r="54" spans="1:45" s="675" customFormat="1" ht="15.6">
      <c r="A54" s="529" t="s">
        <v>210</v>
      </c>
      <c r="B54" s="530"/>
      <c r="C54" s="530"/>
      <c r="D54" s="531" t="s">
        <v>169</v>
      </c>
      <c r="E54" s="531" t="s">
        <v>42</v>
      </c>
      <c r="F54" s="531" t="s">
        <v>44</v>
      </c>
      <c r="G54" s="531" t="s">
        <v>171</v>
      </c>
      <c r="H54" s="531" t="s">
        <v>51</v>
      </c>
      <c r="I54" s="531" t="s">
        <v>211</v>
      </c>
      <c r="J54" s="531" t="s">
        <v>46</v>
      </c>
      <c r="K54" s="531" t="s">
        <v>48</v>
      </c>
      <c r="L54" s="531" t="s">
        <v>49</v>
      </c>
      <c r="M54" s="411"/>
      <c r="N54" s="411"/>
      <c r="O54" s="411"/>
      <c r="P54" s="411"/>
      <c r="Q54" s="411"/>
      <c r="R54" s="411"/>
      <c r="S54" s="411"/>
      <c r="T54" s="411"/>
      <c r="U54" s="411"/>
      <c r="V54" s="411"/>
      <c r="W54" s="411"/>
      <c r="Z54" s="295"/>
      <c r="AA54" s="295"/>
      <c r="AB54" s="411"/>
      <c r="AC54" s="411"/>
      <c r="AD54" s="411"/>
      <c r="AE54" s="411"/>
      <c r="AF54" s="411"/>
      <c r="AG54" s="411"/>
      <c r="AH54" s="411"/>
      <c r="AI54" s="411"/>
      <c r="AJ54" s="411"/>
      <c r="AK54" s="676"/>
      <c r="AL54" s="676"/>
      <c r="AM54" s="676"/>
      <c r="AN54" s="676"/>
      <c r="AO54" s="676"/>
      <c r="AP54" s="676"/>
      <c r="AQ54" s="676"/>
      <c r="AR54" s="676"/>
      <c r="AS54" s="676"/>
    </row>
    <row r="55" spans="1:45" s="675" customFormat="1">
      <c r="A55" s="530"/>
      <c r="B55" s="530" t="s">
        <v>214</v>
      </c>
      <c r="C55" s="530"/>
      <c r="D55" s="527">
        <f>G40/H14</f>
        <v>0</v>
      </c>
      <c r="E55" s="527">
        <f>H40/J14</f>
        <v>0</v>
      </c>
      <c r="F55" s="527">
        <f>I40/K14</f>
        <v>0</v>
      </c>
      <c r="G55" s="527"/>
      <c r="H55" s="527">
        <f>O40/L14</f>
        <v>0</v>
      </c>
      <c r="I55" s="527">
        <f>P40/M14</f>
        <v>0</v>
      </c>
      <c r="J55" s="527">
        <f>K40/N14</f>
        <v>0</v>
      </c>
      <c r="K55" s="527">
        <f>L40/O14</f>
        <v>0</v>
      </c>
      <c r="L55" s="527">
        <f>M40/P14</f>
        <v>0</v>
      </c>
      <c r="M55" s="411"/>
      <c r="N55" s="411"/>
      <c r="O55" s="411"/>
      <c r="P55" s="411"/>
      <c r="Q55" s="411"/>
      <c r="R55" s="411"/>
      <c r="S55" s="411"/>
      <c r="T55" s="411"/>
      <c r="U55" s="411"/>
      <c r="V55" s="411"/>
      <c r="W55" s="411"/>
      <c r="Z55" s="295"/>
      <c r="AA55" s="295"/>
      <c r="AB55" s="411"/>
      <c r="AC55" s="411"/>
      <c r="AD55" s="411"/>
      <c r="AE55" s="411"/>
      <c r="AF55" s="411"/>
      <c r="AG55" s="411"/>
      <c r="AH55" s="411"/>
      <c r="AI55" s="411"/>
      <c r="AJ55" s="411"/>
      <c r="AK55" s="676"/>
      <c r="AL55" s="676"/>
      <c r="AM55" s="676"/>
      <c r="AN55" s="676"/>
      <c r="AO55" s="676"/>
      <c r="AP55" s="676"/>
      <c r="AQ55" s="676"/>
      <c r="AR55" s="676"/>
      <c r="AS55" s="676"/>
    </row>
    <row r="56" spans="1:45" s="675" customFormat="1">
      <c r="A56" s="530"/>
      <c r="B56" s="530"/>
      <c r="C56" s="530"/>
      <c r="D56" s="530"/>
      <c r="E56" s="532"/>
      <c r="F56" s="532"/>
      <c r="G56" s="532"/>
      <c r="H56" s="532"/>
      <c r="I56" s="532"/>
      <c r="J56" s="532"/>
      <c r="K56" s="532"/>
      <c r="L56" s="532"/>
      <c r="M56" s="411"/>
      <c r="N56" s="411"/>
      <c r="O56" s="411"/>
      <c r="P56" s="411"/>
      <c r="Q56" s="411"/>
      <c r="R56" s="411"/>
      <c r="S56" s="411"/>
      <c r="T56" s="411"/>
      <c r="U56" s="411"/>
      <c r="V56" s="411"/>
      <c r="W56" s="411"/>
      <c r="Z56" s="295"/>
      <c r="AA56" s="295"/>
      <c r="AB56" s="295"/>
      <c r="AC56" s="295"/>
      <c r="AD56" s="295"/>
      <c r="AE56" s="295"/>
      <c r="AF56" s="295"/>
      <c r="AG56" s="295"/>
      <c r="AH56" s="295"/>
      <c r="AI56" s="295"/>
      <c r="AJ56" s="295"/>
    </row>
    <row r="57" spans="1:45" s="675" customFormat="1">
      <c r="A57" s="530"/>
      <c r="B57" s="530" t="s">
        <v>219</v>
      </c>
      <c r="C57" s="530"/>
      <c r="D57" s="530"/>
      <c r="E57" s="533">
        <v>0.3</v>
      </c>
      <c r="F57" s="533">
        <v>0.3</v>
      </c>
      <c r="G57" s="533">
        <v>0.3</v>
      </c>
      <c r="H57" s="533">
        <v>0.3</v>
      </c>
      <c r="I57" s="533">
        <v>0.3</v>
      </c>
      <c r="J57" s="533">
        <v>0.3</v>
      </c>
      <c r="K57" s="533">
        <v>0.3</v>
      </c>
      <c r="L57" s="533">
        <v>0.3</v>
      </c>
      <c r="M57" s="411"/>
      <c r="N57" s="411"/>
      <c r="O57" s="411"/>
      <c r="P57" s="411"/>
      <c r="Q57" s="411"/>
      <c r="R57" s="411"/>
      <c r="S57" s="411"/>
      <c r="T57" s="411"/>
      <c r="U57" s="411"/>
      <c r="V57" s="411"/>
      <c r="W57" s="411"/>
      <c r="Z57" s="295"/>
      <c r="AA57" s="295"/>
      <c r="AB57" s="295"/>
      <c r="AC57" s="295"/>
      <c r="AD57" s="295"/>
      <c r="AE57" s="295"/>
      <c r="AF57" s="295"/>
      <c r="AG57" s="295"/>
      <c r="AH57" s="295"/>
      <c r="AI57" s="295"/>
      <c r="AJ57" s="295"/>
    </row>
    <row r="58" spans="1:45" s="675" customFormat="1">
      <c r="A58" s="411"/>
      <c r="B58" s="411"/>
      <c r="C58" s="411"/>
      <c r="D58" s="411"/>
      <c r="E58" s="460">
        <v>1</v>
      </c>
      <c r="F58" s="460">
        <v>1</v>
      </c>
      <c r="G58" s="460">
        <v>1</v>
      </c>
      <c r="H58" s="460">
        <v>1</v>
      </c>
      <c r="I58" s="460">
        <v>1</v>
      </c>
      <c r="J58" s="460">
        <v>1</v>
      </c>
      <c r="K58" s="460">
        <v>1</v>
      </c>
      <c r="L58" s="460">
        <v>1</v>
      </c>
      <c r="M58" s="411"/>
      <c r="N58" s="411"/>
      <c r="O58" s="411"/>
      <c r="P58" s="411"/>
      <c r="Q58" s="411"/>
      <c r="R58" s="411"/>
      <c r="S58" s="411"/>
      <c r="T58" s="411"/>
      <c r="U58" s="411"/>
      <c r="V58" s="411"/>
      <c r="W58" s="411"/>
      <c r="Z58" s="295"/>
      <c r="AA58" s="295"/>
      <c r="AB58" s="295"/>
      <c r="AC58" s="295"/>
      <c r="AD58" s="295"/>
      <c r="AE58" s="295"/>
      <c r="AF58" s="295"/>
      <c r="AG58" s="295"/>
      <c r="AH58" s="295"/>
      <c r="AI58" s="295"/>
      <c r="AJ58" s="295"/>
    </row>
    <row r="59" spans="1:45" s="675" customFormat="1" ht="26.4">
      <c r="A59" s="461"/>
      <c r="B59" s="461" t="s">
        <v>40</v>
      </c>
      <c r="C59" s="462" t="s">
        <v>187</v>
      </c>
      <c r="D59" s="462" t="s">
        <v>188</v>
      </c>
      <c r="E59" s="462" t="s">
        <v>220</v>
      </c>
      <c r="F59" s="462" t="s">
        <v>190</v>
      </c>
      <c r="G59" s="462" t="s">
        <v>191</v>
      </c>
      <c r="H59" s="462" t="s">
        <v>42</v>
      </c>
      <c r="I59" s="462" t="s">
        <v>44</v>
      </c>
      <c r="J59" s="462" t="s">
        <v>45</v>
      </c>
      <c r="K59" s="462" t="s">
        <v>46</v>
      </c>
      <c r="L59" s="462" t="s">
        <v>48</v>
      </c>
      <c r="M59" s="462" t="s">
        <v>49</v>
      </c>
      <c r="N59" s="462" t="s">
        <v>50</v>
      </c>
      <c r="O59" s="462" t="s">
        <v>51</v>
      </c>
      <c r="P59" s="462" t="s">
        <v>52</v>
      </c>
      <c r="Q59" s="462" t="s">
        <v>53</v>
      </c>
      <c r="R59" s="462" t="s">
        <v>54</v>
      </c>
      <c r="S59" s="462" t="s">
        <v>193</v>
      </c>
      <c r="T59" s="462" t="s">
        <v>56</v>
      </c>
      <c r="U59" s="462" t="s">
        <v>57</v>
      </c>
      <c r="V59" s="462" t="s">
        <v>59</v>
      </c>
      <c r="W59" s="462" t="s">
        <v>221</v>
      </c>
      <c r="Z59" s="295"/>
      <c r="AA59" s="295"/>
      <c r="AB59" s="295"/>
      <c r="AC59" s="295"/>
      <c r="AD59" s="295"/>
      <c r="AE59" s="295"/>
      <c r="AF59" s="295"/>
      <c r="AG59" s="295"/>
      <c r="AH59" s="295"/>
      <c r="AI59" s="295"/>
      <c r="AJ59" s="295"/>
    </row>
    <row r="60" spans="1:45" s="675" customFormat="1">
      <c r="A60" s="463"/>
      <c r="B60" s="463">
        <f t="shared" ref="B60:G69" si="6">B21</f>
        <v>0</v>
      </c>
      <c r="C60" s="464" t="str">
        <f t="shared" si="6"/>
        <v/>
      </c>
      <c r="D60" s="464">
        <f t="shared" si="6"/>
        <v>0</v>
      </c>
      <c r="E60" s="464">
        <f t="shared" si="6"/>
        <v>0</v>
      </c>
      <c r="F60" s="465" t="str">
        <f t="shared" si="6"/>
        <v xml:space="preserve"> </v>
      </c>
      <c r="G60" s="466" t="str">
        <f t="shared" si="6"/>
        <v xml:space="preserve"> </v>
      </c>
      <c r="H60" s="467" t="str">
        <f t="shared" ref="H60:W60" si="7">IF($B60&gt;0,(IF($C60="F",H21*$G21,(H21/($F21/100))*$G21))," ")</f>
        <v xml:space="preserve"> </v>
      </c>
      <c r="I60" s="467" t="str">
        <f t="shared" si="7"/>
        <v xml:space="preserve"> </v>
      </c>
      <c r="J60" s="467" t="str">
        <f t="shared" si="7"/>
        <v xml:space="preserve"> </v>
      </c>
      <c r="K60" s="466" t="str">
        <f t="shared" si="7"/>
        <v xml:space="preserve"> </v>
      </c>
      <c r="L60" s="467" t="str">
        <f t="shared" si="7"/>
        <v xml:space="preserve"> </v>
      </c>
      <c r="M60" s="467" t="str">
        <f t="shared" si="7"/>
        <v xml:space="preserve"> </v>
      </c>
      <c r="N60" s="467" t="str">
        <f t="shared" si="7"/>
        <v xml:space="preserve"> </v>
      </c>
      <c r="O60" s="467" t="str">
        <f t="shared" si="7"/>
        <v xml:space="preserve"> </v>
      </c>
      <c r="P60" s="467" t="str">
        <f t="shared" si="7"/>
        <v xml:space="preserve"> </v>
      </c>
      <c r="Q60" s="467" t="str">
        <f t="shared" si="7"/>
        <v xml:space="preserve"> </v>
      </c>
      <c r="R60" s="467" t="str">
        <f t="shared" si="7"/>
        <v xml:space="preserve"> </v>
      </c>
      <c r="S60" s="467" t="str">
        <f t="shared" si="7"/>
        <v xml:space="preserve"> </v>
      </c>
      <c r="T60" s="467" t="str">
        <f t="shared" si="7"/>
        <v xml:space="preserve"> </v>
      </c>
      <c r="U60" s="467" t="str">
        <f t="shared" si="7"/>
        <v xml:space="preserve"> </v>
      </c>
      <c r="V60" s="467" t="str">
        <f t="shared" si="7"/>
        <v xml:space="preserve"> </v>
      </c>
      <c r="W60" s="467" t="str">
        <f t="shared" si="7"/>
        <v xml:space="preserve"> </v>
      </c>
      <c r="Z60" s="295"/>
      <c r="AA60" s="295"/>
      <c r="AB60" s="295"/>
      <c r="AC60" s="295"/>
      <c r="AD60" s="295"/>
      <c r="AE60" s="295"/>
      <c r="AF60" s="295"/>
      <c r="AG60" s="295"/>
      <c r="AH60" s="295"/>
      <c r="AI60" s="295"/>
      <c r="AJ60" s="295"/>
    </row>
    <row r="61" spans="1:45" s="675" customFormat="1">
      <c r="A61" s="463"/>
      <c r="B61" s="463">
        <f t="shared" si="6"/>
        <v>0</v>
      </c>
      <c r="C61" s="464" t="str">
        <f t="shared" si="6"/>
        <v/>
      </c>
      <c r="D61" s="464">
        <f t="shared" si="6"/>
        <v>0</v>
      </c>
      <c r="E61" s="464">
        <f t="shared" si="6"/>
        <v>0</v>
      </c>
      <c r="F61" s="465" t="str">
        <f t="shared" si="6"/>
        <v xml:space="preserve"> </v>
      </c>
      <c r="G61" s="466" t="str">
        <f t="shared" si="6"/>
        <v xml:space="preserve"> </v>
      </c>
      <c r="H61" s="467" t="str">
        <f t="shared" ref="H61:W61" si="8">IF($B61&gt;0,(IF($C61="F",H22*$G22,(H22/($F22/100))*$G22))," ")</f>
        <v xml:space="preserve"> </v>
      </c>
      <c r="I61" s="467" t="str">
        <f t="shared" si="8"/>
        <v xml:space="preserve"> </v>
      </c>
      <c r="J61" s="467" t="str">
        <f t="shared" si="8"/>
        <v xml:space="preserve"> </v>
      </c>
      <c r="K61" s="466" t="str">
        <f t="shared" si="8"/>
        <v xml:space="preserve"> </v>
      </c>
      <c r="L61" s="467" t="str">
        <f t="shared" si="8"/>
        <v xml:space="preserve"> </v>
      </c>
      <c r="M61" s="467" t="str">
        <f t="shared" si="8"/>
        <v xml:space="preserve"> </v>
      </c>
      <c r="N61" s="467" t="str">
        <f t="shared" si="8"/>
        <v xml:space="preserve"> </v>
      </c>
      <c r="O61" s="467" t="str">
        <f t="shared" si="8"/>
        <v xml:space="preserve"> </v>
      </c>
      <c r="P61" s="467" t="str">
        <f t="shared" si="8"/>
        <v xml:space="preserve"> </v>
      </c>
      <c r="Q61" s="467" t="str">
        <f t="shared" si="8"/>
        <v xml:space="preserve"> </v>
      </c>
      <c r="R61" s="467" t="str">
        <f t="shared" si="8"/>
        <v xml:space="preserve"> </v>
      </c>
      <c r="S61" s="467" t="str">
        <f t="shared" si="8"/>
        <v xml:space="preserve"> </v>
      </c>
      <c r="T61" s="467" t="str">
        <f t="shared" si="8"/>
        <v xml:space="preserve"> </v>
      </c>
      <c r="U61" s="467" t="str">
        <f t="shared" si="8"/>
        <v xml:space="preserve"> </v>
      </c>
      <c r="V61" s="467" t="str">
        <f t="shared" si="8"/>
        <v xml:space="preserve"> </v>
      </c>
      <c r="W61" s="467" t="str">
        <f t="shared" si="8"/>
        <v xml:space="preserve"> </v>
      </c>
      <c r="Z61" s="295"/>
      <c r="AA61" s="295"/>
      <c r="AB61" s="295"/>
      <c r="AC61" s="295"/>
      <c r="AD61" s="295"/>
      <c r="AE61" s="295"/>
      <c r="AF61" s="295"/>
      <c r="AG61" s="295"/>
      <c r="AH61" s="295"/>
      <c r="AI61" s="295"/>
      <c r="AJ61" s="295"/>
    </row>
    <row r="62" spans="1:45" s="675" customFormat="1">
      <c r="A62" s="463"/>
      <c r="B62" s="463">
        <f t="shared" si="6"/>
        <v>0</v>
      </c>
      <c r="C62" s="464" t="str">
        <f t="shared" si="6"/>
        <v/>
      </c>
      <c r="D62" s="464">
        <f t="shared" si="6"/>
        <v>0</v>
      </c>
      <c r="E62" s="464">
        <f t="shared" si="6"/>
        <v>0</v>
      </c>
      <c r="F62" s="465" t="str">
        <f t="shared" si="6"/>
        <v xml:space="preserve"> </v>
      </c>
      <c r="G62" s="466" t="str">
        <f t="shared" si="6"/>
        <v xml:space="preserve"> </v>
      </c>
      <c r="H62" s="467" t="str">
        <f t="shared" ref="H62:W62" si="9">IF($B62&gt;0,(IF($C62="F",H23*$G23,(H23/($F23/100))*$G23))," ")</f>
        <v xml:space="preserve"> </v>
      </c>
      <c r="I62" s="467" t="str">
        <f t="shared" si="9"/>
        <v xml:space="preserve"> </v>
      </c>
      <c r="J62" s="467" t="str">
        <f t="shared" si="9"/>
        <v xml:space="preserve"> </v>
      </c>
      <c r="K62" s="466" t="str">
        <f t="shared" si="9"/>
        <v xml:space="preserve"> </v>
      </c>
      <c r="L62" s="467" t="str">
        <f t="shared" si="9"/>
        <v xml:space="preserve"> </v>
      </c>
      <c r="M62" s="467" t="str">
        <f t="shared" si="9"/>
        <v xml:space="preserve"> </v>
      </c>
      <c r="N62" s="467" t="str">
        <f t="shared" si="9"/>
        <v xml:space="preserve"> </v>
      </c>
      <c r="O62" s="467" t="str">
        <f t="shared" si="9"/>
        <v xml:space="preserve"> </v>
      </c>
      <c r="P62" s="467" t="str">
        <f t="shared" si="9"/>
        <v xml:space="preserve"> </v>
      </c>
      <c r="Q62" s="467" t="str">
        <f t="shared" si="9"/>
        <v xml:space="preserve"> </v>
      </c>
      <c r="R62" s="467" t="str">
        <f t="shared" si="9"/>
        <v xml:space="preserve"> </v>
      </c>
      <c r="S62" s="467" t="str">
        <f t="shared" si="9"/>
        <v xml:space="preserve"> </v>
      </c>
      <c r="T62" s="467" t="str">
        <f t="shared" si="9"/>
        <v xml:space="preserve"> </v>
      </c>
      <c r="U62" s="467" t="str">
        <f t="shared" si="9"/>
        <v xml:space="preserve"> </v>
      </c>
      <c r="V62" s="467" t="str">
        <f t="shared" si="9"/>
        <v xml:space="preserve"> </v>
      </c>
      <c r="W62" s="467" t="str">
        <f t="shared" si="9"/>
        <v xml:space="preserve"> </v>
      </c>
      <c r="Z62" s="295"/>
      <c r="AA62" s="295"/>
      <c r="AB62" s="295"/>
      <c r="AC62" s="295"/>
      <c r="AD62" s="295"/>
      <c r="AE62" s="295"/>
      <c r="AF62" s="295"/>
      <c r="AG62" s="295"/>
      <c r="AH62" s="295"/>
      <c r="AI62" s="295"/>
      <c r="AJ62" s="295"/>
    </row>
    <row r="63" spans="1:45" s="675" customFormat="1">
      <c r="A63" s="463"/>
      <c r="B63" s="463">
        <f t="shared" si="6"/>
        <v>0</v>
      </c>
      <c r="C63" s="464" t="str">
        <f t="shared" si="6"/>
        <v/>
      </c>
      <c r="D63" s="464">
        <f t="shared" si="6"/>
        <v>0</v>
      </c>
      <c r="E63" s="464">
        <f t="shared" si="6"/>
        <v>0</v>
      </c>
      <c r="F63" s="465" t="str">
        <f t="shared" si="6"/>
        <v xml:space="preserve"> </v>
      </c>
      <c r="G63" s="466" t="str">
        <f t="shared" si="6"/>
        <v xml:space="preserve"> </v>
      </c>
      <c r="H63" s="467" t="str">
        <f t="shared" ref="H63:W63" si="10">IF($B63&gt;0,(IF($C63="F",H24*$G24,(H24/($F24/100))*$G24))," ")</f>
        <v xml:space="preserve"> </v>
      </c>
      <c r="I63" s="467" t="str">
        <f t="shared" si="10"/>
        <v xml:space="preserve"> </v>
      </c>
      <c r="J63" s="467" t="str">
        <f t="shared" si="10"/>
        <v xml:space="preserve"> </v>
      </c>
      <c r="K63" s="466" t="str">
        <f t="shared" si="10"/>
        <v xml:space="preserve"> </v>
      </c>
      <c r="L63" s="467" t="str">
        <f t="shared" si="10"/>
        <v xml:space="preserve"> </v>
      </c>
      <c r="M63" s="467" t="str">
        <f t="shared" si="10"/>
        <v xml:space="preserve"> </v>
      </c>
      <c r="N63" s="467" t="str">
        <f t="shared" si="10"/>
        <v xml:space="preserve"> </v>
      </c>
      <c r="O63" s="467" t="str">
        <f t="shared" si="10"/>
        <v xml:space="preserve"> </v>
      </c>
      <c r="P63" s="467" t="str">
        <f t="shared" si="10"/>
        <v xml:space="preserve"> </v>
      </c>
      <c r="Q63" s="467" t="str">
        <f t="shared" si="10"/>
        <v xml:space="preserve"> </v>
      </c>
      <c r="R63" s="467" t="str">
        <f t="shared" si="10"/>
        <v xml:space="preserve"> </v>
      </c>
      <c r="S63" s="467" t="str">
        <f t="shared" si="10"/>
        <v xml:space="preserve"> </v>
      </c>
      <c r="T63" s="467" t="str">
        <f t="shared" si="10"/>
        <v xml:space="preserve"> </v>
      </c>
      <c r="U63" s="467" t="str">
        <f t="shared" si="10"/>
        <v xml:space="preserve"> </v>
      </c>
      <c r="V63" s="467" t="str">
        <f t="shared" si="10"/>
        <v xml:space="preserve"> </v>
      </c>
      <c r="W63" s="467" t="str">
        <f t="shared" si="10"/>
        <v xml:space="preserve"> </v>
      </c>
      <c r="Z63" s="295"/>
      <c r="AA63" s="295"/>
      <c r="AB63" s="295"/>
      <c r="AC63" s="295"/>
      <c r="AD63" s="295"/>
      <c r="AE63" s="295"/>
      <c r="AF63" s="295"/>
      <c r="AG63" s="295"/>
      <c r="AH63" s="295"/>
      <c r="AI63" s="295"/>
      <c r="AJ63" s="295"/>
    </row>
    <row r="64" spans="1:45" s="675" customFormat="1">
      <c r="A64" s="463"/>
      <c r="B64" s="463">
        <f t="shared" si="6"/>
        <v>0</v>
      </c>
      <c r="C64" s="464" t="str">
        <f t="shared" si="6"/>
        <v/>
      </c>
      <c r="D64" s="464">
        <f t="shared" si="6"/>
        <v>0</v>
      </c>
      <c r="E64" s="464">
        <f t="shared" si="6"/>
        <v>0</v>
      </c>
      <c r="F64" s="465" t="str">
        <f t="shared" si="6"/>
        <v xml:space="preserve"> </v>
      </c>
      <c r="G64" s="466" t="str">
        <f t="shared" si="6"/>
        <v xml:space="preserve"> </v>
      </c>
      <c r="H64" s="467" t="str">
        <f t="shared" ref="H64:W64" si="11">IF($B64&gt;0,(IF($C64="F",H25*$G25,(H25/($F25/100))*$G25))," ")</f>
        <v xml:space="preserve"> </v>
      </c>
      <c r="I64" s="467" t="str">
        <f t="shared" si="11"/>
        <v xml:space="preserve"> </v>
      </c>
      <c r="J64" s="467" t="str">
        <f t="shared" si="11"/>
        <v xml:space="preserve"> </v>
      </c>
      <c r="K64" s="466" t="str">
        <f t="shared" si="11"/>
        <v xml:space="preserve"> </v>
      </c>
      <c r="L64" s="467" t="str">
        <f t="shared" si="11"/>
        <v xml:space="preserve"> </v>
      </c>
      <c r="M64" s="467" t="str">
        <f t="shared" si="11"/>
        <v xml:space="preserve"> </v>
      </c>
      <c r="N64" s="467" t="str">
        <f t="shared" si="11"/>
        <v xml:space="preserve"> </v>
      </c>
      <c r="O64" s="467" t="str">
        <f t="shared" si="11"/>
        <v xml:space="preserve"> </v>
      </c>
      <c r="P64" s="467" t="str">
        <f t="shared" si="11"/>
        <v xml:space="preserve"> </v>
      </c>
      <c r="Q64" s="467" t="str">
        <f t="shared" si="11"/>
        <v xml:space="preserve"> </v>
      </c>
      <c r="R64" s="467" t="str">
        <f t="shared" si="11"/>
        <v xml:space="preserve"> </v>
      </c>
      <c r="S64" s="467" t="str">
        <f t="shared" si="11"/>
        <v xml:space="preserve"> </v>
      </c>
      <c r="T64" s="467" t="str">
        <f t="shared" si="11"/>
        <v xml:space="preserve"> </v>
      </c>
      <c r="U64" s="467" t="str">
        <f t="shared" si="11"/>
        <v xml:space="preserve"> </v>
      </c>
      <c r="V64" s="467" t="str">
        <f t="shared" si="11"/>
        <v xml:space="preserve"> </v>
      </c>
      <c r="W64" s="467" t="str">
        <f t="shared" si="11"/>
        <v xml:space="preserve"> </v>
      </c>
      <c r="Z64" s="295"/>
      <c r="AA64" s="295"/>
      <c r="AB64" s="295"/>
      <c r="AC64" s="295"/>
      <c r="AD64" s="295"/>
      <c r="AE64" s="295"/>
      <c r="AF64" s="295"/>
      <c r="AG64" s="295"/>
      <c r="AH64" s="295"/>
      <c r="AI64" s="295"/>
      <c r="AJ64" s="295"/>
    </row>
    <row r="65" spans="1:36" s="675" customFormat="1">
      <c r="A65" s="463"/>
      <c r="B65" s="463">
        <f t="shared" si="6"/>
        <v>0</v>
      </c>
      <c r="C65" s="464" t="str">
        <f t="shared" si="6"/>
        <v/>
      </c>
      <c r="D65" s="464">
        <f t="shared" si="6"/>
        <v>0</v>
      </c>
      <c r="E65" s="464">
        <f t="shared" si="6"/>
        <v>0</v>
      </c>
      <c r="F65" s="465" t="str">
        <f t="shared" si="6"/>
        <v xml:space="preserve"> </v>
      </c>
      <c r="G65" s="466" t="str">
        <f t="shared" si="6"/>
        <v xml:space="preserve"> </v>
      </c>
      <c r="H65" s="467" t="str">
        <f t="shared" ref="H65:W65" si="12">IF($B65&gt;0,(IF($C65="F",H26*$G26,(H26/($F26/100))*$G26))," ")</f>
        <v xml:space="preserve"> </v>
      </c>
      <c r="I65" s="467" t="str">
        <f t="shared" si="12"/>
        <v xml:space="preserve"> </v>
      </c>
      <c r="J65" s="467" t="str">
        <f t="shared" si="12"/>
        <v xml:space="preserve"> </v>
      </c>
      <c r="K65" s="466" t="str">
        <f t="shared" si="12"/>
        <v xml:space="preserve"> </v>
      </c>
      <c r="L65" s="467" t="str">
        <f t="shared" si="12"/>
        <v xml:space="preserve"> </v>
      </c>
      <c r="M65" s="467" t="str">
        <f t="shared" si="12"/>
        <v xml:space="preserve"> </v>
      </c>
      <c r="N65" s="467" t="str">
        <f t="shared" si="12"/>
        <v xml:space="preserve"> </v>
      </c>
      <c r="O65" s="467" t="str">
        <f t="shared" si="12"/>
        <v xml:space="preserve"> </v>
      </c>
      <c r="P65" s="467" t="str">
        <f t="shared" si="12"/>
        <v xml:space="preserve"> </v>
      </c>
      <c r="Q65" s="467" t="str">
        <f t="shared" si="12"/>
        <v xml:space="preserve"> </v>
      </c>
      <c r="R65" s="467" t="str">
        <f t="shared" si="12"/>
        <v xml:space="preserve"> </v>
      </c>
      <c r="S65" s="467" t="str">
        <f t="shared" si="12"/>
        <v xml:space="preserve"> </v>
      </c>
      <c r="T65" s="467" t="str">
        <f t="shared" si="12"/>
        <v xml:space="preserve"> </v>
      </c>
      <c r="U65" s="467" t="str">
        <f t="shared" si="12"/>
        <v xml:space="preserve"> </v>
      </c>
      <c r="V65" s="467" t="str">
        <f t="shared" si="12"/>
        <v xml:space="preserve"> </v>
      </c>
      <c r="W65" s="467" t="str">
        <f t="shared" si="12"/>
        <v xml:space="preserve"> </v>
      </c>
      <c r="Z65" s="295"/>
      <c r="AA65" s="295"/>
      <c r="AB65" s="295"/>
      <c r="AC65" s="295"/>
      <c r="AD65" s="295"/>
      <c r="AE65" s="295"/>
      <c r="AF65" s="295"/>
      <c r="AG65" s="295"/>
      <c r="AH65" s="295"/>
      <c r="AI65" s="295"/>
      <c r="AJ65" s="295"/>
    </row>
    <row r="66" spans="1:36" s="675" customFormat="1">
      <c r="A66" s="463"/>
      <c r="B66" s="463">
        <f t="shared" si="6"/>
        <v>0</v>
      </c>
      <c r="C66" s="464" t="str">
        <f t="shared" si="6"/>
        <v/>
      </c>
      <c r="D66" s="464">
        <f t="shared" si="6"/>
        <v>0</v>
      </c>
      <c r="E66" s="464">
        <f t="shared" si="6"/>
        <v>0</v>
      </c>
      <c r="F66" s="465" t="str">
        <f t="shared" si="6"/>
        <v xml:space="preserve"> </v>
      </c>
      <c r="G66" s="466" t="str">
        <f t="shared" si="6"/>
        <v xml:space="preserve"> </v>
      </c>
      <c r="H66" s="467" t="str">
        <f t="shared" ref="H66:W66" si="13">IF($B66&gt;0,(IF($C66="F",H27*$G27,(H27/($F27/100))*$G27))," ")</f>
        <v xml:space="preserve"> </v>
      </c>
      <c r="I66" s="467" t="str">
        <f t="shared" si="13"/>
        <v xml:space="preserve"> </v>
      </c>
      <c r="J66" s="467" t="str">
        <f t="shared" si="13"/>
        <v xml:space="preserve"> </v>
      </c>
      <c r="K66" s="466" t="str">
        <f t="shared" si="13"/>
        <v xml:space="preserve"> </v>
      </c>
      <c r="L66" s="467" t="str">
        <f t="shared" si="13"/>
        <v xml:space="preserve"> </v>
      </c>
      <c r="M66" s="467" t="str">
        <f t="shared" si="13"/>
        <v xml:space="preserve"> </v>
      </c>
      <c r="N66" s="467" t="str">
        <f t="shared" si="13"/>
        <v xml:space="preserve"> </v>
      </c>
      <c r="O66" s="467" t="str">
        <f t="shared" si="13"/>
        <v xml:space="preserve"> </v>
      </c>
      <c r="P66" s="467" t="str">
        <f t="shared" si="13"/>
        <v xml:space="preserve"> </v>
      </c>
      <c r="Q66" s="467" t="str">
        <f t="shared" si="13"/>
        <v xml:space="preserve"> </v>
      </c>
      <c r="R66" s="467" t="str">
        <f t="shared" si="13"/>
        <v xml:space="preserve"> </v>
      </c>
      <c r="S66" s="467" t="str">
        <f t="shared" si="13"/>
        <v xml:space="preserve"> </v>
      </c>
      <c r="T66" s="467" t="str">
        <f t="shared" si="13"/>
        <v xml:space="preserve"> </v>
      </c>
      <c r="U66" s="467" t="str">
        <f t="shared" si="13"/>
        <v xml:space="preserve"> </v>
      </c>
      <c r="V66" s="467" t="str">
        <f t="shared" si="13"/>
        <v xml:space="preserve"> </v>
      </c>
      <c r="W66" s="467" t="str">
        <f t="shared" si="13"/>
        <v xml:space="preserve"> </v>
      </c>
      <c r="Z66" s="295"/>
      <c r="AA66" s="295"/>
      <c r="AB66" s="295"/>
      <c r="AC66" s="295"/>
      <c r="AD66" s="295"/>
      <c r="AE66" s="295"/>
      <c r="AF66" s="295"/>
      <c r="AG66" s="295"/>
      <c r="AH66" s="295"/>
      <c r="AI66" s="295"/>
      <c r="AJ66" s="295"/>
    </row>
    <row r="67" spans="1:36" s="675" customFormat="1">
      <c r="A67" s="463"/>
      <c r="B67" s="463">
        <f t="shared" si="6"/>
        <v>0</v>
      </c>
      <c r="C67" s="464" t="str">
        <f t="shared" si="6"/>
        <v/>
      </c>
      <c r="D67" s="464">
        <f t="shared" si="6"/>
        <v>0</v>
      </c>
      <c r="E67" s="464">
        <f t="shared" si="6"/>
        <v>0</v>
      </c>
      <c r="F67" s="465" t="str">
        <f t="shared" si="6"/>
        <v xml:space="preserve"> </v>
      </c>
      <c r="G67" s="466" t="str">
        <f t="shared" si="6"/>
        <v xml:space="preserve"> </v>
      </c>
      <c r="H67" s="467" t="str">
        <f t="shared" ref="H67:W67" si="14">IF($B67&gt;0,(IF($C67="F",H28*$G28,(H28/($F28/100))*$G28))," ")</f>
        <v xml:space="preserve"> </v>
      </c>
      <c r="I67" s="467" t="str">
        <f t="shared" si="14"/>
        <v xml:space="preserve"> </v>
      </c>
      <c r="J67" s="467" t="str">
        <f t="shared" si="14"/>
        <v xml:space="preserve"> </v>
      </c>
      <c r="K67" s="466" t="str">
        <f t="shared" si="14"/>
        <v xml:space="preserve"> </v>
      </c>
      <c r="L67" s="467" t="str">
        <f t="shared" si="14"/>
        <v xml:space="preserve"> </v>
      </c>
      <c r="M67" s="467" t="str">
        <f t="shared" si="14"/>
        <v xml:space="preserve"> </v>
      </c>
      <c r="N67" s="467" t="str">
        <f t="shared" si="14"/>
        <v xml:space="preserve"> </v>
      </c>
      <c r="O67" s="467" t="str">
        <f t="shared" si="14"/>
        <v xml:space="preserve"> </v>
      </c>
      <c r="P67" s="467" t="str">
        <f t="shared" si="14"/>
        <v xml:space="preserve"> </v>
      </c>
      <c r="Q67" s="467" t="str">
        <f t="shared" si="14"/>
        <v xml:space="preserve"> </v>
      </c>
      <c r="R67" s="467" t="str">
        <f t="shared" si="14"/>
        <v xml:space="preserve"> </v>
      </c>
      <c r="S67" s="467" t="str">
        <f t="shared" si="14"/>
        <v xml:space="preserve"> </v>
      </c>
      <c r="T67" s="467" t="str">
        <f t="shared" si="14"/>
        <v xml:space="preserve"> </v>
      </c>
      <c r="U67" s="467" t="str">
        <f t="shared" si="14"/>
        <v xml:space="preserve"> </v>
      </c>
      <c r="V67" s="467" t="str">
        <f t="shared" si="14"/>
        <v xml:space="preserve"> </v>
      </c>
      <c r="W67" s="467" t="str">
        <f t="shared" si="14"/>
        <v xml:space="preserve"> </v>
      </c>
      <c r="Z67" s="295"/>
      <c r="AA67" s="295"/>
      <c r="AB67" s="295"/>
      <c r="AC67" s="295"/>
      <c r="AD67" s="295"/>
      <c r="AE67" s="295"/>
      <c r="AF67" s="295"/>
      <c r="AG67" s="295"/>
      <c r="AH67" s="295"/>
      <c r="AI67" s="295"/>
      <c r="AJ67" s="295"/>
    </row>
    <row r="68" spans="1:36" s="675" customFormat="1">
      <c r="A68" s="463"/>
      <c r="B68" s="463">
        <f t="shared" si="6"/>
        <v>0</v>
      </c>
      <c r="C68" s="464" t="str">
        <f t="shared" si="6"/>
        <v/>
      </c>
      <c r="D68" s="464">
        <f t="shared" si="6"/>
        <v>0</v>
      </c>
      <c r="E68" s="464">
        <f t="shared" si="6"/>
        <v>0</v>
      </c>
      <c r="F68" s="465" t="str">
        <f t="shared" si="6"/>
        <v xml:space="preserve"> </v>
      </c>
      <c r="G68" s="466" t="str">
        <f t="shared" si="6"/>
        <v xml:space="preserve"> </v>
      </c>
      <c r="H68" s="467" t="str">
        <f t="shared" ref="H68:W68" si="15">IF($B68&gt;0,(IF($C68="F",H29*$G29,(H29/($F29/100))*$G29))," ")</f>
        <v xml:space="preserve"> </v>
      </c>
      <c r="I68" s="467" t="str">
        <f t="shared" si="15"/>
        <v xml:space="preserve"> </v>
      </c>
      <c r="J68" s="467" t="str">
        <f t="shared" si="15"/>
        <v xml:space="preserve"> </v>
      </c>
      <c r="K68" s="466" t="str">
        <f t="shared" si="15"/>
        <v xml:space="preserve"> </v>
      </c>
      <c r="L68" s="467" t="str">
        <f t="shared" si="15"/>
        <v xml:space="preserve"> </v>
      </c>
      <c r="M68" s="467" t="str">
        <f t="shared" si="15"/>
        <v xml:space="preserve"> </v>
      </c>
      <c r="N68" s="467" t="str">
        <f t="shared" si="15"/>
        <v xml:space="preserve"> </v>
      </c>
      <c r="O68" s="467" t="str">
        <f t="shared" si="15"/>
        <v xml:space="preserve"> </v>
      </c>
      <c r="P68" s="467" t="str">
        <f t="shared" si="15"/>
        <v xml:space="preserve"> </v>
      </c>
      <c r="Q68" s="467" t="str">
        <f t="shared" si="15"/>
        <v xml:space="preserve"> </v>
      </c>
      <c r="R68" s="467" t="str">
        <f t="shared" si="15"/>
        <v xml:space="preserve"> </v>
      </c>
      <c r="S68" s="467" t="str">
        <f t="shared" si="15"/>
        <v xml:space="preserve"> </v>
      </c>
      <c r="T68" s="467" t="str">
        <f t="shared" si="15"/>
        <v xml:space="preserve"> </v>
      </c>
      <c r="U68" s="467" t="str">
        <f t="shared" si="15"/>
        <v xml:space="preserve"> </v>
      </c>
      <c r="V68" s="467" t="str">
        <f t="shared" si="15"/>
        <v xml:space="preserve"> </v>
      </c>
      <c r="W68" s="467" t="str">
        <f t="shared" si="15"/>
        <v xml:space="preserve"> </v>
      </c>
      <c r="Z68" s="295"/>
      <c r="AA68" s="295"/>
      <c r="AB68" s="295"/>
      <c r="AC68" s="295"/>
      <c r="AD68" s="295"/>
      <c r="AE68" s="295"/>
      <c r="AF68" s="295"/>
      <c r="AG68" s="295"/>
      <c r="AH68" s="295"/>
      <c r="AI68" s="295"/>
      <c r="AJ68" s="295"/>
    </row>
    <row r="69" spans="1:36" s="675" customFormat="1">
      <c r="A69" s="463"/>
      <c r="B69" s="463">
        <f t="shared" si="6"/>
        <v>0</v>
      </c>
      <c r="C69" s="464" t="str">
        <f t="shared" si="6"/>
        <v/>
      </c>
      <c r="D69" s="464">
        <f t="shared" si="6"/>
        <v>0</v>
      </c>
      <c r="E69" s="464">
        <f t="shared" si="6"/>
        <v>0</v>
      </c>
      <c r="F69" s="465" t="str">
        <f t="shared" si="6"/>
        <v xml:space="preserve"> </v>
      </c>
      <c r="G69" s="466" t="str">
        <f t="shared" si="6"/>
        <v xml:space="preserve"> </v>
      </c>
      <c r="H69" s="467" t="str">
        <f t="shared" ref="H69:W69" si="16">IF($B69&gt;0,(IF($C69="F",H30*$G30,(H30/($F30/100))*$G30))," ")</f>
        <v xml:space="preserve"> </v>
      </c>
      <c r="I69" s="467" t="str">
        <f t="shared" si="16"/>
        <v xml:space="preserve"> </v>
      </c>
      <c r="J69" s="467" t="str">
        <f t="shared" si="16"/>
        <v xml:space="preserve"> </v>
      </c>
      <c r="K69" s="466" t="str">
        <f t="shared" si="16"/>
        <v xml:space="preserve"> </v>
      </c>
      <c r="L69" s="467" t="str">
        <f t="shared" si="16"/>
        <v xml:space="preserve"> </v>
      </c>
      <c r="M69" s="467" t="str">
        <f t="shared" si="16"/>
        <v xml:space="preserve"> </v>
      </c>
      <c r="N69" s="467" t="str">
        <f t="shared" si="16"/>
        <v xml:space="preserve"> </v>
      </c>
      <c r="O69" s="467" t="str">
        <f t="shared" si="16"/>
        <v xml:space="preserve"> </v>
      </c>
      <c r="P69" s="467" t="str">
        <f t="shared" si="16"/>
        <v xml:space="preserve"> </v>
      </c>
      <c r="Q69" s="467" t="str">
        <f t="shared" si="16"/>
        <v xml:space="preserve"> </v>
      </c>
      <c r="R69" s="467" t="str">
        <f t="shared" si="16"/>
        <v xml:space="preserve"> </v>
      </c>
      <c r="S69" s="467" t="str">
        <f t="shared" si="16"/>
        <v xml:space="preserve"> </v>
      </c>
      <c r="T69" s="467" t="str">
        <f t="shared" si="16"/>
        <v xml:space="preserve"> </v>
      </c>
      <c r="U69" s="467" t="str">
        <f t="shared" si="16"/>
        <v xml:space="preserve"> </v>
      </c>
      <c r="V69" s="467" t="str">
        <f t="shared" si="16"/>
        <v xml:space="preserve"> </v>
      </c>
      <c r="W69" s="467" t="str">
        <f t="shared" si="16"/>
        <v xml:space="preserve"> </v>
      </c>
      <c r="Z69" s="295"/>
      <c r="AA69" s="295"/>
      <c r="AB69" s="295"/>
      <c r="AC69" s="295"/>
      <c r="AD69" s="295"/>
      <c r="AE69" s="295"/>
      <c r="AF69" s="295"/>
      <c r="AG69" s="295"/>
      <c r="AH69" s="295"/>
      <c r="AI69" s="295"/>
      <c r="AJ69" s="295"/>
    </row>
    <row r="70" spans="1:36" s="675" customFormat="1">
      <c r="A70" s="463"/>
      <c r="B70" s="463">
        <f t="shared" ref="B70:G75" si="17">B31</f>
        <v>0</v>
      </c>
      <c r="C70" s="464" t="str">
        <f t="shared" si="17"/>
        <v/>
      </c>
      <c r="D70" s="464">
        <f t="shared" si="17"/>
        <v>0</v>
      </c>
      <c r="E70" s="464">
        <f t="shared" si="17"/>
        <v>0</v>
      </c>
      <c r="F70" s="465" t="str">
        <f t="shared" si="17"/>
        <v xml:space="preserve"> </v>
      </c>
      <c r="G70" s="466" t="str">
        <f t="shared" si="17"/>
        <v xml:space="preserve"> </v>
      </c>
      <c r="H70" s="467" t="str">
        <f t="shared" ref="H70:W70" si="18">IF($B70&gt;0,(IF($C70="F",H31*$G31,(H31/($F31/100))*$G31))," ")</f>
        <v xml:space="preserve"> </v>
      </c>
      <c r="I70" s="467" t="str">
        <f t="shared" si="18"/>
        <v xml:space="preserve"> </v>
      </c>
      <c r="J70" s="467" t="str">
        <f t="shared" si="18"/>
        <v xml:space="preserve"> </v>
      </c>
      <c r="K70" s="466" t="str">
        <f t="shared" si="18"/>
        <v xml:space="preserve"> </v>
      </c>
      <c r="L70" s="467" t="str">
        <f t="shared" si="18"/>
        <v xml:space="preserve"> </v>
      </c>
      <c r="M70" s="467" t="str">
        <f t="shared" si="18"/>
        <v xml:space="preserve"> </v>
      </c>
      <c r="N70" s="467" t="str">
        <f t="shared" si="18"/>
        <v xml:space="preserve"> </v>
      </c>
      <c r="O70" s="467" t="str">
        <f t="shared" si="18"/>
        <v xml:space="preserve"> </v>
      </c>
      <c r="P70" s="467" t="str">
        <f t="shared" si="18"/>
        <v xml:space="preserve"> </v>
      </c>
      <c r="Q70" s="467" t="str">
        <f t="shared" si="18"/>
        <v xml:space="preserve"> </v>
      </c>
      <c r="R70" s="467" t="str">
        <f t="shared" si="18"/>
        <v xml:space="preserve"> </v>
      </c>
      <c r="S70" s="467" t="str">
        <f t="shared" si="18"/>
        <v xml:space="preserve"> </v>
      </c>
      <c r="T70" s="467" t="str">
        <f t="shared" si="18"/>
        <v xml:space="preserve"> </v>
      </c>
      <c r="U70" s="467" t="str">
        <f t="shared" si="18"/>
        <v xml:space="preserve"> </v>
      </c>
      <c r="V70" s="467" t="str">
        <f t="shared" si="18"/>
        <v xml:space="preserve"> </v>
      </c>
      <c r="W70" s="467" t="str">
        <f t="shared" si="18"/>
        <v xml:space="preserve"> </v>
      </c>
      <c r="Z70" s="295"/>
      <c r="AA70" s="295"/>
      <c r="AB70" s="295"/>
      <c r="AC70" s="295"/>
      <c r="AD70" s="295"/>
      <c r="AE70" s="295"/>
      <c r="AF70" s="295"/>
      <c r="AG70" s="295"/>
      <c r="AH70" s="295"/>
      <c r="AI70" s="295"/>
      <c r="AJ70" s="295"/>
    </row>
    <row r="71" spans="1:36" s="675" customFormat="1">
      <c r="A71" s="463"/>
      <c r="B71" s="463">
        <f t="shared" si="17"/>
        <v>0</v>
      </c>
      <c r="C71" s="464" t="str">
        <f t="shared" si="17"/>
        <v/>
      </c>
      <c r="D71" s="464">
        <f t="shared" si="17"/>
        <v>0</v>
      </c>
      <c r="E71" s="464">
        <f t="shared" si="17"/>
        <v>0</v>
      </c>
      <c r="F71" s="465" t="str">
        <f t="shared" si="17"/>
        <v xml:space="preserve"> </v>
      </c>
      <c r="G71" s="466" t="str">
        <f t="shared" si="17"/>
        <v xml:space="preserve"> </v>
      </c>
      <c r="H71" s="467" t="str">
        <f t="shared" ref="H71:W71" si="19">IF($B71&gt;0,(IF($C71="F",H32*$G32,(H32/($F32/100))*$G32))," ")</f>
        <v xml:space="preserve"> </v>
      </c>
      <c r="I71" s="467" t="str">
        <f t="shared" si="19"/>
        <v xml:space="preserve"> </v>
      </c>
      <c r="J71" s="467" t="str">
        <f t="shared" si="19"/>
        <v xml:space="preserve"> </v>
      </c>
      <c r="K71" s="466" t="str">
        <f t="shared" si="19"/>
        <v xml:space="preserve"> </v>
      </c>
      <c r="L71" s="467" t="str">
        <f t="shared" si="19"/>
        <v xml:space="preserve"> </v>
      </c>
      <c r="M71" s="467" t="str">
        <f t="shared" si="19"/>
        <v xml:space="preserve"> </v>
      </c>
      <c r="N71" s="467" t="str">
        <f t="shared" si="19"/>
        <v xml:space="preserve"> </v>
      </c>
      <c r="O71" s="467" t="str">
        <f t="shared" si="19"/>
        <v xml:space="preserve"> </v>
      </c>
      <c r="P71" s="467" t="str">
        <f t="shared" si="19"/>
        <v xml:space="preserve"> </v>
      </c>
      <c r="Q71" s="467" t="str">
        <f t="shared" si="19"/>
        <v xml:space="preserve"> </v>
      </c>
      <c r="R71" s="467" t="str">
        <f t="shared" si="19"/>
        <v xml:space="preserve"> </v>
      </c>
      <c r="S71" s="467" t="str">
        <f t="shared" si="19"/>
        <v xml:space="preserve"> </v>
      </c>
      <c r="T71" s="467" t="str">
        <f t="shared" si="19"/>
        <v xml:space="preserve"> </v>
      </c>
      <c r="U71" s="467" t="str">
        <f t="shared" si="19"/>
        <v xml:space="preserve"> </v>
      </c>
      <c r="V71" s="467" t="str">
        <f t="shared" si="19"/>
        <v xml:space="preserve"> </v>
      </c>
      <c r="W71" s="467" t="str">
        <f t="shared" si="19"/>
        <v xml:space="preserve"> </v>
      </c>
      <c r="Z71" s="295"/>
      <c r="AA71" s="295"/>
      <c r="AB71" s="295"/>
      <c r="AC71" s="295"/>
      <c r="AD71" s="295"/>
      <c r="AE71" s="295"/>
      <c r="AF71" s="295"/>
      <c r="AG71" s="295"/>
      <c r="AH71" s="295"/>
      <c r="AI71" s="295"/>
      <c r="AJ71" s="295"/>
    </row>
    <row r="72" spans="1:36" s="675" customFormat="1">
      <c r="A72" s="463"/>
      <c r="B72" s="463">
        <f t="shared" si="17"/>
        <v>0</v>
      </c>
      <c r="C72" s="464" t="str">
        <f t="shared" si="17"/>
        <v/>
      </c>
      <c r="D72" s="464">
        <f t="shared" si="17"/>
        <v>0</v>
      </c>
      <c r="E72" s="464">
        <f t="shared" si="17"/>
        <v>0</v>
      </c>
      <c r="F72" s="465" t="str">
        <f t="shared" si="17"/>
        <v xml:space="preserve"> </v>
      </c>
      <c r="G72" s="466" t="str">
        <f t="shared" si="17"/>
        <v xml:space="preserve"> </v>
      </c>
      <c r="H72" s="467" t="str">
        <f t="shared" ref="H72:W72" si="20">IF($B72&gt;0,(IF($C72="F",H33*$G33,(H33/($F33/100))*$G33))," ")</f>
        <v xml:space="preserve"> </v>
      </c>
      <c r="I72" s="467" t="str">
        <f t="shared" si="20"/>
        <v xml:space="preserve"> </v>
      </c>
      <c r="J72" s="467" t="str">
        <f t="shared" si="20"/>
        <v xml:space="preserve"> </v>
      </c>
      <c r="K72" s="466" t="str">
        <f t="shared" si="20"/>
        <v xml:space="preserve"> </v>
      </c>
      <c r="L72" s="467" t="str">
        <f t="shared" si="20"/>
        <v xml:space="preserve"> </v>
      </c>
      <c r="M72" s="467" t="str">
        <f t="shared" si="20"/>
        <v xml:space="preserve"> </v>
      </c>
      <c r="N72" s="467" t="str">
        <f t="shared" si="20"/>
        <v xml:space="preserve"> </v>
      </c>
      <c r="O72" s="467" t="str">
        <f t="shared" si="20"/>
        <v xml:space="preserve"> </v>
      </c>
      <c r="P72" s="467" t="str">
        <f t="shared" si="20"/>
        <v xml:space="preserve"> </v>
      </c>
      <c r="Q72" s="467" t="str">
        <f t="shared" si="20"/>
        <v xml:space="preserve"> </v>
      </c>
      <c r="R72" s="467" t="str">
        <f t="shared" si="20"/>
        <v xml:space="preserve"> </v>
      </c>
      <c r="S72" s="467" t="str">
        <f t="shared" si="20"/>
        <v xml:space="preserve"> </v>
      </c>
      <c r="T72" s="467" t="str">
        <f t="shared" si="20"/>
        <v xml:space="preserve"> </v>
      </c>
      <c r="U72" s="467" t="str">
        <f t="shared" si="20"/>
        <v xml:space="preserve"> </v>
      </c>
      <c r="V72" s="467" t="str">
        <f t="shared" si="20"/>
        <v xml:space="preserve"> </v>
      </c>
      <c r="W72" s="467" t="str">
        <f t="shared" si="20"/>
        <v xml:space="preserve"> </v>
      </c>
      <c r="Z72" s="295"/>
      <c r="AA72" s="295"/>
      <c r="AB72" s="295"/>
      <c r="AC72" s="295"/>
      <c r="AD72" s="295"/>
      <c r="AE72" s="295"/>
      <c r="AF72" s="295"/>
      <c r="AG72" s="295"/>
      <c r="AH72" s="295"/>
      <c r="AI72" s="295"/>
      <c r="AJ72" s="295"/>
    </row>
    <row r="73" spans="1:36" s="675" customFormat="1">
      <c r="A73" s="463"/>
      <c r="B73" s="463">
        <f t="shared" si="17"/>
        <v>0</v>
      </c>
      <c r="C73" s="464" t="str">
        <f t="shared" si="17"/>
        <v/>
      </c>
      <c r="D73" s="464">
        <f t="shared" si="17"/>
        <v>0</v>
      </c>
      <c r="E73" s="464">
        <f t="shared" si="17"/>
        <v>0</v>
      </c>
      <c r="F73" s="465" t="str">
        <f t="shared" si="17"/>
        <v xml:space="preserve"> </v>
      </c>
      <c r="G73" s="466" t="str">
        <f t="shared" si="17"/>
        <v xml:space="preserve"> </v>
      </c>
      <c r="H73" s="467" t="str">
        <f t="shared" ref="H73:W73" si="21">IF($B73&gt;0,(IF($C73="F",H34*$G34,(H34/($F34/100))*$G34))," ")</f>
        <v xml:space="preserve"> </v>
      </c>
      <c r="I73" s="467" t="str">
        <f t="shared" si="21"/>
        <v xml:space="preserve"> </v>
      </c>
      <c r="J73" s="467" t="str">
        <f t="shared" si="21"/>
        <v xml:space="preserve"> </v>
      </c>
      <c r="K73" s="466" t="str">
        <f t="shared" si="21"/>
        <v xml:space="preserve"> </v>
      </c>
      <c r="L73" s="467" t="str">
        <f t="shared" si="21"/>
        <v xml:space="preserve"> </v>
      </c>
      <c r="M73" s="467" t="str">
        <f t="shared" si="21"/>
        <v xml:space="preserve"> </v>
      </c>
      <c r="N73" s="467" t="str">
        <f t="shared" si="21"/>
        <v xml:space="preserve"> </v>
      </c>
      <c r="O73" s="467" t="str">
        <f t="shared" si="21"/>
        <v xml:space="preserve"> </v>
      </c>
      <c r="P73" s="467" t="str">
        <f t="shared" si="21"/>
        <v xml:space="preserve"> </v>
      </c>
      <c r="Q73" s="467" t="str">
        <f t="shared" si="21"/>
        <v xml:space="preserve"> </v>
      </c>
      <c r="R73" s="467" t="str">
        <f t="shared" si="21"/>
        <v xml:space="preserve"> </v>
      </c>
      <c r="S73" s="467" t="str">
        <f t="shared" si="21"/>
        <v xml:space="preserve"> </v>
      </c>
      <c r="T73" s="467" t="str">
        <f t="shared" si="21"/>
        <v xml:space="preserve"> </v>
      </c>
      <c r="U73" s="467" t="str">
        <f t="shared" si="21"/>
        <v xml:space="preserve"> </v>
      </c>
      <c r="V73" s="467" t="str">
        <f t="shared" si="21"/>
        <v xml:space="preserve"> </v>
      </c>
      <c r="W73" s="467" t="str">
        <f t="shared" si="21"/>
        <v xml:space="preserve"> </v>
      </c>
      <c r="Z73" s="295"/>
      <c r="AA73" s="295"/>
      <c r="AB73" s="295"/>
      <c r="AC73" s="295"/>
      <c r="AD73" s="295"/>
      <c r="AE73" s="295"/>
      <c r="AF73" s="295"/>
      <c r="AG73" s="295"/>
      <c r="AH73" s="295"/>
      <c r="AI73" s="295"/>
      <c r="AJ73" s="295"/>
    </row>
    <row r="74" spans="1:36" s="675" customFormat="1">
      <c r="A74" s="463"/>
      <c r="B74" s="463">
        <f t="shared" si="17"/>
        <v>0</v>
      </c>
      <c r="C74" s="464" t="str">
        <f t="shared" si="17"/>
        <v/>
      </c>
      <c r="D74" s="464">
        <f t="shared" si="17"/>
        <v>0</v>
      </c>
      <c r="E74" s="464">
        <f t="shared" si="17"/>
        <v>0</v>
      </c>
      <c r="F74" s="465" t="str">
        <f t="shared" si="17"/>
        <v xml:space="preserve"> </v>
      </c>
      <c r="G74" s="466" t="str">
        <f t="shared" si="17"/>
        <v xml:space="preserve"> </v>
      </c>
      <c r="H74" s="467" t="str">
        <f t="shared" ref="H74:W74" si="22">IF($B74&gt;0,(IF($C74="F",H35*$G35,(H35/($F35/100))*$G35))," ")</f>
        <v xml:space="preserve"> </v>
      </c>
      <c r="I74" s="467" t="str">
        <f t="shared" si="22"/>
        <v xml:space="preserve"> </v>
      </c>
      <c r="J74" s="467" t="str">
        <f t="shared" si="22"/>
        <v xml:space="preserve"> </v>
      </c>
      <c r="K74" s="466" t="str">
        <f t="shared" si="22"/>
        <v xml:space="preserve"> </v>
      </c>
      <c r="L74" s="467" t="str">
        <f t="shared" si="22"/>
        <v xml:space="preserve"> </v>
      </c>
      <c r="M74" s="467" t="str">
        <f t="shared" si="22"/>
        <v xml:space="preserve"> </v>
      </c>
      <c r="N74" s="467" t="str">
        <f t="shared" si="22"/>
        <v xml:space="preserve"> </v>
      </c>
      <c r="O74" s="467" t="str">
        <f t="shared" si="22"/>
        <v xml:space="preserve"> </v>
      </c>
      <c r="P74" s="467" t="str">
        <f t="shared" si="22"/>
        <v xml:space="preserve"> </v>
      </c>
      <c r="Q74" s="467" t="str">
        <f t="shared" si="22"/>
        <v xml:space="preserve"> </v>
      </c>
      <c r="R74" s="467" t="str">
        <f t="shared" si="22"/>
        <v xml:space="preserve"> </v>
      </c>
      <c r="S74" s="467" t="str">
        <f t="shared" si="22"/>
        <v xml:space="preserve"> </v>
      </c>
      <c r="T74" s="467" t="str">
        <f t="shared" si="22"/>
        <v xml:space="preserve"> </v>
      </c>
      <c r="U74" s="467" t="str">
        <f t="shared" si="22"/>
        <v xml:space="preserve"> </v>
      </c>
      <c r="V74" s="467" t="str">
        <f t="shared" si="22"/>
        <v xml:space="preserve"> </v>
      </c>
      <c r="W74" s="467" t="str">
        <f t="shared" si="22"/>
        <v xml:space="preserve"> </v>
      </c>
      <c r="Z74" s="295"/>
      <c r="AA74" s="295"/>
      <c r="AB74" s="295"/>
      <c r="AC74" s="295"/>
      <c r="AD74" s="295"/>
      <c r="AE74" s="295"/>
      <c r="AF74" s="295"/>
      <c r="AG74" s="295"/>
      <c r="AH74" s="295"/>
      <c r="AI74" s="295"/>
      <c r="AJ74" s="295"/>
    </row>
    <row r="75" spans="1:36" s="675" customFormat="1">
      <c r="A75" s="463"/>
      <c r="B75" s="463">
        <f t="shared" si="17"/>
        <v>0</v>
      </c>
      <c r="C75" s="464" t="str">
        <f t="shared" si="17"/>
        <v/>
      </c>
      <c r="D75" s="464">
        <f t="shared" si="17"/>
        <v>0</v>
      </c>
      <c r="E75" s="464">
        <f t="shared" si="17"/>
        <v>0</v>
      </c>
      <c r="F75" s="465" t="str">
        <f t="shared" si="17"/>
        <v xml:space="preserve"> </v>
      </c>
      <c r="G75" s="466" t="str">
        <f t="shared" si="17"/>
        <v xml:space="preserve"> </v>
      </c>
      <c r="H75" s="467" t="str">
        <f t="shared" ref="H75:W75" si="23">IF($B75&gt;0,(IF($C75="F",H36*$G36,(H36/($F36/100))*$G36))," ")</f>
        <v xml:space="preserve"> </v>
      </c>
      <c r="I75" s="467" t="str">
        <f t="shared" si="23"/>
        <v xml:space="preserve"> </v>
      </c>
      <c r="J75" s="467" t="str">
        <f t="shared" si="23"/>
        <v xml:space="preserve"> </v>
      </c>
      <c r="K75" s="466" t="str">
        <f t="shared" si="23"/>
        <v xml:space="preserve"> </v>
      </c>
      <c r="L75" s="467" t="str">
        <f t="shared" si="23"/>
        <v xml:space="preserve"> </v>
      </c>
      <c r="M75" s="467" t="str">
        <f t="shared" si="23"/>
        <v xml:space="preserve"> </v>
      </c>
      <c r="N75" s="467" t="str">
        <f t="shared" si="23"/>
        <v xml:space="preserve"> </v>
      </c>
      <c r="O75" s="467" t="str">
        <f t="shared" si="23"/>
        <v xml:space="preserve"> </v>
      </c>
      <c r="P75" s="467" t="str">
        <f t="shared" si="23"/>
        <v xml:space="preserve"> </v>
      </c>
      <c r="Q75" s="467" t="str">
        <f t="shared" si="23"/>
        <v xml:space="preserve"> </v>
      </c>
      <c r="R75" s="467" t="str">
        <f t="shared" si="23"/>
        <v xml:space="preserve"> </v>
      </c>
      <c r="S75" s="467" t="str">
        <f t="shared" si="23"/>
        <v xml:space="preserve"> </v>
      </c>
      <c r="T75" s="467" t="str">
        <f t="shared" si="23"/>
        <v xml:space="preserve"> </v>
      </c>
      <c r="U75" s="467" t="str">
        <f t="shared" si="23"/>
        <v xml:space="preserve"> </v>
      </c>
      <c r="V75" s="467" t="str">
        <f t="shared" si="23"/>
        <v xml:space="preserve"> </v>
      </c>
      <c r="W75" s="467" t="str">
        <f t="shared" si="23"/>
        <v xml:space="preserve"> </v>
      </c>
      <c r="Z75" s="295"/>
      <c r="AA75" s="295"/>
      <c r="AB75" s="295"/>
      <c r="AC75" s="295"/>
      <c r="AD75" s="295"/>
      <c r="AE75" s="295"/>
      <c r="AF75" s="295"/>
      <c r="AG75" s="295"/>
      <c r="AH75" s="295"/>
      <c r="AI75" s="295"/>
      <c r="AJ75" s="295"/>
    </row>
    <row r="76" spans="1:36" s="675" customFormat="1">
      <c r="A76" s="463"/>
      <c r="B76" s="463"/>
      <c r="C76" s="463"/>
      <c r="D76" s="468">
        <f>SUM(D60:D75)</f>
        <v>0</v>
      </c>
      <c r="E76" s="469" t="e">
        <f>G76/D76</f>
        <v>#DIV/0!</v>
      </c>
      <c r="F76" s="463"/>
      <c r="G76" s="468">
        <f t="shared" ref="G76:W76" si="24">SUM(G60:G75)</f>
        <v>0</v>
      </c>
      <c r="H76" s="470">
        <f t="shared" si="24"/>
        <v>0</v>
      </c>
      <c r="I76" s="470">
        <f>SUM(I60:I75)</f>
        <v>0</v>
      </c>
      <c r="J76" s="470">
        <f t="shared" si="24"/>
        <v>0</v>
      </c>
      <c r="K76" s="471">
        <f t="shared" si="24"/>
        <v>0</v>
      </c>
      <c r="L76" s="470">
        <f t="shared" si="24"/>
        <v>0</v>
      </c>
      <c r="M76" s="470">
        <f t="shared" si="24"/>
        <v>0</v>
      </c>
      <c r="N76" s="470">
        <f t="shared" si="24"/>
        <v>0</v>
      </c>
      <c r="O76" s="468">
        <f t="shared" si="24"/>
        <v>0</v>
      </c>
      <c r="P76" s="468">
        <f t="shared" si="24"/>
        <v>0</v>
      </c>
      <c r="Q76" s="470">
        <f t="shared" si="24"/>
        <v>0</v>
      </c>
      <c r="R76" s="470">
        <f t="shared" si="24"/>
        <v>0</v>
      </c>
      <c r="S76" s="470">
        <f t="shared" si="24"/>
        <v>0</v>
      </c>
      <c r="T76" s="470">
        <f t="shared" si="24"/>
        <v>0</v>
      </c>
      <c r="U76" s="470">
        <f t="shared" si="24"/>
        <v>0</v>
      </c>
      <c r="V76" s="470">
        <f t="shared" si="24"/>
        <v>0</v>
      </c>
      <c r="W76" s="471">
        <f t="shared" si="24"/>
        <v>0</v>
      </c>
      <c r="Z76" s="295"/>
      <c r="AA76" s="295"/>
      <c r="AB76" s="295"/>
      <c r="AC76" s="295"/>
      <c r="AD76" s="295"/>
      <c r="AE76" s="295"/>
      <c r="AF76" s="295"/>
      <c r="AG76" s="295"/>
      <c r="AH76" s="295"/>
      <c r="AI76" s="295"/>
      <c r="AJ76" s="295"/>
    </row>
    <row r="77" spans="1:36" s="675" customFormat="1">
      <c r="H77" s="677" t="str">
        <f>IF(A77&gt;0,(IF($C$60="F",H38*$G$21,(H38/($F$21/100))*$G$21))," ")</f>
        <v xml:space="preserve"> </v>
      </c>
      <c r="Z77" s="295"/>
      <c r="AA77" s="295"/>
      <c r="AB77" s="295"/>
      <c r="AC77" s="295"/>
      <c r="AD77" s="295"/>
      <c r="AE77" s="295"/>
      <c r="AF77" s="295"/>
      <c r="AG77" s="295"/>
      <c r="AH77" s="295"/>
      <c r="AI77" s="295"/>
      <c r="AJ77" s="295"/>
    </row>
    <row r="78" spans="1:36" s="675" customFormat="1">
      <c r="Z78" s="295"/>
      <c r="AA78" s="295"/>
      <c r="AB78" s="295"/>
      <c r="AC78" s="295"/>
      <c r="AD78" s="295"/>
      <c r="AE78" s="295"/>
      <c r="AF78" s="295"/>
      <c r="AG78" s="295"/>
      <c r="AH78" s="295"/>
      <c r="AI78" s="295"/>
      <c r="AJ78" s="295"/>
    </row>
    <row r="79" spans="1:36" s="675" customFormat="1">
      <c r="Z79" s="295"/>
      <c r="AA79" s="295"/>
      <c r="AB79" s="295"/>
      <c r="AC79" s="295"/>
      <c r="AD79" s="295"/>
      <c r="AE79" s="295"/>
      <c r="AF79" s="295"/>
      <c r="AG79" s="295"/>
      <c r="AH79" s="295"/>
      <c r="AI79" s="295"/>
      <c r="AJ79" s="295"/>
    </row>
    <row r="80" spans="1:36" s="675" customFormat="1">
      <c r="Z80" s="295"/>
      <c r="AA80" s="295"/>
      <c r="AB80" s="295"/>
      <c r="AC80" s="295"/>
      <c r="AD80" s="295"/>
      <c r="AE80" s="295"/>
      <c r="AF80" s="295"/>
      <c r="AG80" s="295"/>
      <c r="AH80" s="295"/>
      <c r="AI80" s="295"/>
      <c r="AJ80" s="295"/>
    </row>
    <row r="81" spans="26:36" s="675" customFormat="1">
      <c r="Z81" s="295"/>
      <c r="AA81" s="295"/>
      <c r="AB81" s="295"/>
      <c r="AC81" s="295"/>
      <c r="AD81" s="295"/>
      <c r="AE81" s="295"/>
      <c r="AF81" s="295"/>
      <c r="AG81" s="295"/>
      <c r="AH81" s="295"/>
      <c r="AI81" s="295"/>
      <c r="AJ81" s="295"/>
    </row>
    <row r="82" spans="26:36" s="675" customFormat="1">
      <c r="Z82" s="295"/>
      <c r="AA82" s="295"/>
      <c r="AB82" s="295"/>
      <c r="AC82" s="295"/>
      <c r="AD82" s="295"/>
      <c r="AE82" s="295"/>
      <c r="AF82" s="295"/>
      <c r="AG82" s="295"/>
      <c r="AH82" s="295"/>
      <c r="AI82" s="295"/>
      <c r="AJ82" s="295"/>
    </row>
    <row r="83" spans="26:36" s="675" customFormat="1">
      <c r="Z83" s="295"/>
      <c r="AA83" s="295"/>
      <c r="AB83" s="295"/>
      <c r="AC83" s="295"/>
      <c r="AD83" s="295"/>
      <c r="AE83" s="295"/>
      <c r="AF83" s="295"/>
      <c r="AG83" s="295"/>
      <c r="AH83" s="295"/>
      <c r="AI83" s="295"/>
      <c r="AJ83" s="295"/>
    </row>
    <row r="84" spans="26:36" s="675" customFormat="1">
      <c r="Z84" s="295"/>
      <c r="AA84" s="295"/>
      <c r="AB84" s="295"/>
      <c r="AC84" s="295"/>
      <c r="AD84" s="295"/>
      <c r="AE84" s="295"/>
      <c r="AF84" s="295"/>
      <c r="AG84" s="295"/>
      <c r="AH84" s="295"/>
      <c r="AI84" s="295"/>
      <c r="AJ84" s="295"/>
    </row>
    <row r="85" spans="26:36" s="675" customFormat="1">
      <c r="Z85" s="295"/>
      <c r="AA85" s="295"/>
      <c r="AB85" s="295"/>
      <c r="AC85" s="295"/>
      <c r="AD85" s="295"/>
      <c r="AE85" s="295"/>
      <c r="AF85" s="295"/>
      <c r="AG85" s="295"/>
      <c r="AH85" s="295"/>
      <c r="AI85" s="295"/>
      <c r="AJ85" s="295"/>
    </row>
  </sheetData>
  <sheetProtection algorithmName="SHA-512" hashValue="z1RLUKpMsrAbvF/inQz00l7r06V0AZocuX9atBFaWANS9CeWFvW58ZAq8Aj03CcowhAd1UqZXG/7ig43KMoUTA==" saltValue="G/lej1kXXx0pcYb7yzRp0g==" spinCount="100000" sheet="1" objects="1" scenarios="1"/>
  <sortState xmlns:xlrd2="http://schemas.microsoft.com/office/spreadsheetml/2017/richdata2" ref="AB10:AD18">
    <sortCondition ref="AB10:AB18"/>
  </sortState>
  <mergeCells count="9">
    <mergeCell ref="A1:W1"/>
    <mergeCell ref="B44:C44"/>
    <mergeCell ref="R38:U38"/>
    <mergeCell ref="C3:F3"/>
    <mergeCell ref="C4:F4"/>
    <mergeCell ref="C5:F5"/>
    <mergeCell ref="L3:M3"/>
    <mergeCell ref="L4:M4"/>
    <mergeCell ref="L5:M5"/>
  </mergeCells>
  <conditionalFormatting sqref="G42:I42 K42:M42 O42">
    <cfRule type="expression" dxfId="57" priority="8">
      <formula>G$40&gt;0.98</formula>
    </cfRule>
    <cfRule type="expression" dxfId="56" priority="9">
      <formula>G$40&lt;0.94</formula>
    </cfRule>
  </conditionalFormatting>
  <conditionalFormatting sqref="N3">
    <cfRule type="expression" dxfId="55" priority="3">
      <formula>$N$3&lt;0.75</formula>
    </cfRule>
  </conditionalFormatting>
  <conditionalFormatting sqref="N4">
    <cfRule type="expression" dxfId="54" priority="123">
      <formula>$N$4&lt;$Q$15</formula>
    </cfRule>
    <cfRule type="expression" dxfId="53" priority="124">
      <formula>#REF!&gt;$N$11</formula>
    </cfRule>
  </conditionalFormatting>
  <conditionalFormatting sqref="N5">
    <cfRule type="expression" dxfId="52" priority="5">
      <formula>$N$5&gt;98</formula>
    </cfRule>
  </conditionalFormatting>
  <conditionalFormatting sqref="P42">
    <cfRule type="expression" dxfId="51" priority="1">
      <formula>$P$42&gt;0.98</formula>
    </cfRule>
    <cfRule type="expression" dxfId="50" priority="2">
      <formula>$P$42&lt;0.94</formula>
    </cfRule>
  </conditionalFormatting>
  <conditionalFormatting sqref="R41">
    <cfRule type="expression" dxfId="49" priority="75">
      <formula>$R$41&lt;$R$44</formula>
    </cfRule>
    <cfRule type="expression" dxfId="48" priority="76">
      <formula>$R$41&gt;$R$45</formula>
    </cfRule>
  </conditionalFormatting>
  <conditionalFormatting sqref="S41">
    <cfRule type="expression" dxfId="47" priority="77">
      <formula>$S$41&lt;$S$44</formula>
    </cfRule>
  </conditionalFormatting>
  <conditionalFormatting sqref="T41">
    <cfRule type="expression" dxfId="46" priority="78">
      <formula>$T$41&lt;$T$44</formula>
    </cfRule>
  </conditionalFormatting>
  <conditionalFormatting sqref="U41">
    <cfRule type="expression" dxfId="45" priority="79">
      <formula>$U$41&lt;$U$44</formula>
    </cfRule>
  </conditionalFormatting>
  <conditionalFormatting sqref="V41">
    <cfRule type="expression" dxfId="44" priority="80">
      <formula>$V$41&gt;$V$45</formula>
    </cfRule>
  </conditionalFormatting>
  <dataValidations count="6">
    <dataValidation type="list" allowBlank="1" showInputMessage="1" showErrorMessage="1" sqref="D10" xr:uid="{E2684432-6425-4C63-B247-B876DF9EA96E}">
      <formula1>$AJ$10:$AJ$11</formula1>
    </dataValidation>
    <dataValidation type="list" allowBlank="1" showInputMessage="1" showErrorMessage="1" sqref="D14" xr:uid="{A923EBA3-F5D0-4775-872B-EC6839F828FF}">
      <formula1>$AM$10:$AM$13</formula1>
    </dataValidation>
    <dataValidation type="list" allowBlank="1" showInputMessage="1" showErrorMessage="1" sqref="D13" xr:uid="{8503DF6E-2220-409A-B03B-EB98C54F70EC}">
      <formula1>$AK$10:$AK$14</formula1>
    </dataValidation>
    <dataValidation type="list" allowBlank="1" showInputMessage="1" showErrorMessage="1" sqref="D12" xr:uid="{A7EC0658-5604-4101-B815-B4580E8CB3FD}">
      <formula1>$AP$10:$AP$18</formula1>
    </dataValidation>
    <dataValidation type="list" allowBlank="1" showInputMessage="1" showErrorMessage="1" sqref="D11" xr:uid="{7293636D-A3ED-4341-A9AD-037818DAD570}">
      <formula1>$AN$10:$AN$12</formula1>
    </dataValidation>
    <dataValidation type="list" allowBlank="1" showInputMessage="1" showErrorMessage="1" sqref="D9" xr:uid="{D8F79661-87FB-4CA8-9A8E-0236E316E638}">
      <formula1>$AB$23:$AB$30</formula1>
    </dataValidation>
  </dataValidations>
  <pageMargins left="0.7" right="0.7" top="0.75" bottom="0.75" header="0.3" footer="0.3"/>
  <pageSetup paperSize="9" orientation="landscape" r:id="rId1"/>
  <ignoredErrors>
    <ignoredError sqref="I14" 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C274BEA-7E2B-4E10-A020-BB4F3BDB4CC2}">
          <x14:formula1>
            <xm:f>'Liste des aliments'!$C$6:$C$966</xm:f>
          </x14:formula1>
          <xm:sqref>B21:B36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CFC27-E9B5-44D2-B0C6-8E05057DD6C1}">
  <sheetPr codeName="Feuil13">
    <tabColor rgb="FFFFC000"/>
  </sheetPr>
  <dimension ref="A2:H60"/>
  <sheetViews>
    <sheetView showGridLines="0" zoomScaleNormal="100" zoomScaleSheetLayoutView="145" workbookViewId="0">
      <selection activeCell="C3" sqref="C3"/>
    </sheetView>
  </sheetViews>
  <sheetFormatPr baseColWidth="10" defaultColWidth="11.44140625" defaultRowHeight="14.4"/>
  <cols>
    <col min="1" max="1" width="28.33203125" customWidth="1"/>
    <col min="2" max="2" width="10.109375" customWidth="1"/>
    <col min="3" max="3" width="9.109375" customWidth="1"/>
    <col min="4" max="4" width="8.6640625" customWidth="1"/>
    <col min="5" max="5" width="11.44140625" customWidth="1"/>
    <col min="6" max="6" width="6.109375" customWidth="1"/>
    <col min="7" max="7" width="12" customWidth="1"/>
    <col min="8" max="8" width="12.6640625" customWidth="1"/>
  </cols>
  <sheetData>
    <row r="2" spans="1:8" ht="24" customHeight="1">
      <c r="F2" s="40"/>
      <c r="G2" s="786">
        <f ca="1">TODAY()</f>
        <v>45922</v>
      </c>
      <c r="H2" s="786"/>
    </row>
    <row r="3" spans="1:8" s="32" customFormat="1" ht="12" customHeight="1">
      <c r="A3" s="19" t="s">
        <v>224</v>
      </c>
      <c r="B3" s="42"/>
      <c r="C3" s="42"/>
      <c r="G3" s="77"/>
    </row>
    <row r="4" spans="1:8" s="32" customFormat="1" ht="12" customHeight="1">
      <c r="A4" s="20" t="s">
        <v>225</v>
      </c>
      <c r="B4" s="42"/>
      <c r="C4" s="42"/>
    </row>
    <row r="5" spans="1:8" s="32" customFormat="1" ht="12" customHeight="1">
      <c r="A5" s="20" t="s">
        <v>226</v>
      </c>
      <c r="B5" s="42"/>
      <c r="C5" s="42"/>
    </row>
    <row r="6" spans="1:8" s="32" customFormat="1" ht="12" customHeight="1">
      <c r="A6" s="42" t="str">
        <f>_xlfn.CONCAT("Ration établie par : ",'   VA   '!C5:F5)</f>
        <v xml:space="preserve">Ration établie par : </v>
      </c>
      <c r="B6" s="42"/>
      <c r="C6" s="42"/>
    </row>
    <row r="7" spans="1:8" ht="5.25" customHeight="1"/>
    <row r="8" spans="1:8" ht="23.4">
      <c r="A8" s="783" t="str">
        <f>_xlfn.CONCAT("RATION : ",'   VA   '!C3:F3," - ",'   VA   '!C4:F4)</f>
        <v xml:space="preserve">RATION :  - </v>
      </c>
      <c r="B8" s="784"/>
      <c r="C8" s="784"/>
      <c r="D8" s="784"/>
      <c r="E8" s="784"/>
      <c r="F8" s="784"/>
      <c r="G8" s="784"/>
      <c r="H8" s="785"/>
    </row>
    <row r="10" spans="1:8" ht="12.9" customHeight="1">
      <c r="A10" s="21" t="s">
        <v>227</v>
      </c>
      <c r="B10" s="22"/>
      <c r="C10" s="23"/>
      <c r="D10" s="21" t="s">
        <v>260</v>
      </c>
      <c r="E10" s="22"/>
      <c r="F10" s="22"/>
      <c r="G10" s="22"/>
      <c r="H10" s="31"/>
    </row>
    <row r="11" spans="1:8" ht="12.9" customHeight="1">
      <c r="A11" s="23" t="s">
        <v>284</v>
      </c>
      <c r="B11" s="24" t="str">
        <f>'   VA   '!D9</f>
        <v>BBB</v>
      </c>
      <c r="C11" s="23"/>
      <c r="D11" s="23"/>
      <c r="E11" s="23"/>
      <c r="F11" s="23"/>
      <c r="G11" s="23"/>
      <c r="H11" s="32"/>
    </row>
    <row r="12" spans="1:8" ht="12.9" customHeight="1">
      <c r="A12" s="23" t="s">
        <v>356</v>
      </c>
      <c r="B12" s="24" t="str">
        <f>IF('   VA   '!D10="OUI","Lactation","Tarie")</f>
        <v>Tarie</v>
      </c>
      <c r="C12" s="23"/>
      <c r="D12" s="23"/>
      <c r="E12" s="23"/>
      <c r="F12" s="23"/>
      <c r="G12" s="23"/>
      <c r="H12" s="32"/>
    </row>
    <row r="13" spans="1:8" ht="12.9" customHeight="1">
      <c r="A13" s="23" t="s">
        <v>357</v>
      </c>
      <c r="B13" s="28" t="str">
        <f>'   VA   '!D13</f>
        <v xml:space="preserve">≤ 5 </v>
      </c>
      <c r="C13" s="23"/>
      <c r="D13" s="23"/>
      <c r="E13" s="23"/>
      <c r="F13" s="23"/>
      <c r="G13" s="23"/>
      <c r="H13" s="32"/>
    </row>
    <row r="14" spans="1:8" ht="12.9" customHeight="1">
      <c r="A14" s="23" t="s">
        <v>327</v>
      </c>
      <c r="B14" s="28" t="str">
        <f>'   VA   '!D14</f>
        <v>&gt;3</v>
      </c>
      <c r="C14" s="23"/>
      <c r="D14" s="23"/>
      <c r="E14" s="23"/>
      <c r="F14" s="23"/>
      <c r="G14" s="23"/>
      <c r="H14" s="32"/>
    </row>
    <row r="15" spans="1:8" ht="12.9" customHeight="1">
      <c r="A15" s="23" t="s">
        <v>340</v>
      </c>
      <c r="B15" s="28">
        <f>'   VA   '!D15</f>
        <v>720</v>
      </c>
      <c r="C15" s="23"/>
      <c r="D15" s="23"/>
      <c r="E15" s="23"/>
      <c r="F15" s="23"/>
      <c r="G15" s="23"/>
      <c r="H15" s="32"/>
    </row>
    <row r="16" spans="1:8" ht="12.9" customHeight="1">
      <c r="A16" s="23" t="s">
        <v>358</v>
      </c>
      <c r="B16" s="28">
        <f>'   VA   '!D16</f>
        <v>7</v>
      </c>
      <c r="C16" s="23"/>
      <c r="D16" s="23"/>
      <c r="E16" s="23"/>
      <c r="F16" s="23"/>
      <c r="G16" s="23"/>
      <c r="H16" s="32"/>
    </row>
    <row r="17" spans="1:8" ht="12.9" customHeight="1">
      <c r="A17" s="23"/>
      <c r="C17" s="23"/>
      <c r="D17" s="23"/>
      <c r="E17" s="23"/>
      <c r="F17" s="23"/>
      <c r="G17" s="23"/>
      <c r="H17" s="32"/>
    </row>
    <row r="18" spans="1:8" ht="12.9" customHeight="1">
      <c r="A18" s="21" t="s">
        <v>232</v>
      </c>
      <c r="B18" s="26"/>
      <c r="C18" s="23"/>
      <c r="D18" s="23"/>
      <c r="E18" s="23"/>
      <c r="F18" s="23"/>
      <c r="G18" s="23"/>
      <c r="H18" s="32"/>
    </row>
    <row r="19" spans="1:8" ht="12.9" customHeight="1">
      <c r="A19" s="23" t="s">
        <v>233</v>
      </c>
      <c r="B19" s="27">
        <f>'   VA   '!W40</f>
        <v>0</v>
      </c>
      <c r="C19" s="23"/>
      <c r="D19" s="23"/>
      <c r="E19" s="23"/>
      <c r="F19" s="23"/>
      <c r="G19" s="23"/>
      <c r="H19" s="32"/>
    </row>
    <row r="20" spans="1:8" ht="12.9" customHeight="1">
      <c r="A20" s="23" t="s">
        <v>234</v>
      </c>
      <c r="B20" s="87">
        <f>'   VA   '!N3*100</f>
        <v>0</v>
      </c>
      <c r="C20" s="23"/>
      <c r="D20" s="23"/>
      <c r="E20" s="23"/>
      <c r="F20" s="23"/>
      <c r="G20" s="23"/>
      <c r="H20" s="32"/>
    </row>
    <row r="21" spans="1:8" ht="12.9" customHeight="1">
      <c r="A21" s="23" t="s">
        <v>235</v>
      </c>
      <c r="B21" s="28" t="e">
        <f>'   VA   '!M40/'   VA   '!K40</f>
        <v>#DIV/0!</v>
      </c>
      <c r="C21" s="23"/>
      <c r="D21" s="23"/>
      <c r="E21" s="23"/>
      <c r="F21" s="23"/>
      <c r="G21" s="23"/>
      <c r="H21" s="32"/>
    </row>
    <row r="22" spans="1:8" ht="12.9" customHeight="1">
      <c r="A22" s="23" t="s">
        <v>236</v>
      </c>
      <c r="B22" s="80" t="e">
        <f>'   VA   '!I40/'   VA   '!H40*1000</f>
        <v>#DIV/0!</v>
      </c>
      <c r="C22" s="23"/>
      <c r="D22" s="23"/>
      <c r="E22" s="23"/>
      <c r="F22" s="23"/>
      <c r="G22" s="23"/>
      <c r="H22" s="32"/>
    </row>
    <row r="23" spans="1:8" ht="12.9" customHeight="1">
      <c r="A23" s="23" t="s">
        <v>278</v>
      </c>
      <c r="B23" s="29" t="e">
        <f>'   VA   '!E40</f>
        <v>#DIV/0!</v>
      </c>
      <c r="C23" s="23"/>
      <c r="D23" s="23"/>
      <c r="E23" s="23"/>
      <c r="F23" s="23"/>
      <c r="G23" s="23"/>
      <c r="H23" s="32"/>
    </row>
    <row r="24" spans="1:8" ht="12.9" customHeight="1">
      <c r="A24" s="23"/>
      <c r="B24" s="23"/>
      <c r="C24" s="23"/>
      <c r="D24" s="23"/>
      <c r="E24" s="23"/>
      <c r="F24" s="23"/>
      <c r="G24" s="23"/>
      <c r="H24" s="32"/>
    </row>
    <row r="25" spans="1:8" ht="12.9" customHeight="1">
      <c r="A25" s="21" t="s">
        <v>186</v>
      </c>
      <c r="B25" s="22"/>
      <c r="C25" s="22"/>
      <c r="D25" s="22"/>
      <c r="E25" s="22"/>
      <c r="F25" s="22"/>
      <c r="G25" s="22"/>
      <c r="H25" s="31"/>
    </row>
    <row r="26" spans="1:8" ht="9" customHeight="1">
      <c r="A26" s="23"/>
      <c r="B26" s="23"/>
      <c r="C26" s="23"/>
      <c r="D26" s="23"/>
      <c r="E26" s="23"/>
      <c r="F26" s="23"/>
      <c r="G26" s="23"/>
    </row>
    <row r="27" spans="1:8" ht="17.399999999999999" customHeight="1">
      <c r="A27" s="72" t="s">
        <v>238</v>
      </c>
      <c r="B27" s="72" t="s">
        <v>188</v>
      </c>
      <c r="C27" s="72" t="s">
        <v>191</v>
      </c>
      <c r="D27" s="30"/>
      <c r="E27" s="23"/>
      <c r="F27" s="23"/>
      <c r="G27" s="23"/>
    </row>
    <row r="28" spans="1:8" ht="15" customHeight="1">
      <c r="A28" s="69" t="str">
        <f>IF(ISBLANK('   VA   '!B21),"",'   VA   '!B21)</f>
        <v/>
      </c>
      <c r="B28" s="70" t="str">
        <f>IF(ISBLANK('   VA   '!B21)," ",'   VA   '!D21)</f>
        <v xml:space="preserve"> </v>
      </c>
      <c r="C28" s="71" t="str">
        <f>'   VA   '!G21</f>
        <v xml:space="preserve"> </v>
      </c>
      <c r="D28" s="30"/>
      <c r="E28" s="38" t="s">
        <v>239</v>
      </c>
      <c r="F28" s="36">
        <f>'   VA   '!D40</f>
        <v>0</v>
      </c>
      <c r="G28" s="34" t="s">
        <v>240</v>
      </c>
    </row>
    <row r="29" spans="1:8" ht="15" customHeight="1">
      <c r="A29" s="69" t="str">
        <f>IF(ISBLANK('   VA   '!B22),"",'   VA   '!B22)</f>
        <v/>
      </c>
      <c r="B29" s="70" t="str">
        <f>IF(ISBLANK('   VA   '!B22)," ",'   VA   '!D22)</f>
        <v xml:space="preserve"> </v>
      </c>
      <c r="C29" s="71" t="str">
        <f>'   VA   '!G22</f>
        <v xml:space="preserve"> </v>
      </c>
      <c r="D29" s="30"/>
      <c r="E29" s="39" t="s">
        <v>241</v>
      </c>
      <c r="F29" s="37">
        <f>'   VA   '!G40</f>
        <v>0</v>
      </c>
      <c r="G29" s="35" t="s">
        <v>240</v>
      </c>
    </row>
    <row r="30" spans="1:8" ht="15" customHeight="1">
      <c r="A30" s="69" t="str">
        <f>IF(ISBLANK('   VA   '!B23),"",'   VA   '!B23)</f>
        <v/>
      </c>
      <c r="B30" s="70" t="str">
        <f>IF(ISBLANK('   VA   '!B23)," ",'   VA   '!D23)</f>
        <v xml:space="preserve"> </v>
      </c>
      <c r="C30" s="71" t="str">
        <f>'   VA   '!G23</f>
        <v xml:space="preserve"> </v>
      </c>
      <c r="D30" s="30"/>
      <c r="E30" s="23"/>
      <c r="F30" s="23"/>
      <c r="G30" s="23"/>
      <c r="H30" s="32"/>
    </row>
    <row r="31" spans="1:8" ht="15" customHeight="1">
      <c r="A31" s="69" t="str">
        <f>IF(ISBLANK('   VA   '!B24),"",'   VA   '!B24)</f>
        <v/>
      </c>
      <c r="B31" s="70" t="str">
        <f>IF(ISBLANK('   VA   '!B24)," ",'   VA   '!D24)</f>
        <v xml:space="preserve"> </v>
      </c>
      <c r="C31" s="71" t="str">
        <f>'   VA   '!G24</f>
        <v xml:space="preserve"> </v>
      </c>
      <c r="D31" s="30"/>
      <c r="E31" s="23"/>
      <c r="F31" s="23"/>
      <c r="G31" s="23"/>
      <c r="H31" s="32"/>
    </row>
    <row r="32" spans="1:8" ht="15" customHeight="1">
      <c r="A32" s="69" t="str">
        <f>IF(ISBLANK('   VA   '!B25),"",'   VA   '!B25)</f>
        <v/>
      </c>
      <c r="B32" s="70" t="str">
        <f>IF(ISBLANK('   VA   '!B25)," ",'   VA   '!D25)</f>
        <v xml:space="preserve"> </v>
      </c>
      <c r="C32" s="71" t="str">
        <f>'   VA   '!G25</f>
        <v xml:space="preserve"> </v>
      </c>
      <c r="D32" s="30"/>
      <c r="E32" s="23"/>
      <c r="F32" s="23"/>
      <c r="G32" s="23"/>
      <c r="H32" s="32"/>
    </row>
    <row r="33" spans="1:8" ht="15" customHeight="1">
      <c r="A33" s="69" t="str">
        <f>IF(ISBLANK('   VA   '!B26),"",'   VA   '!B26)</f>
        <v/>
      </c>
      <c r="B33" s="70" t="str">
        <f>IF(ISBLANK('   VA   '!B26)," ",'   VA   '!D26)</f>
        <v xml:space="preserve"> </v>
      </c>
      <c r="C33" s="71" t="str">
        <f>'   VA   '!G26</f>
        <v xml:space="preserve"> </v>
      </c>
      <c r="D33" s="30"/>
      <c r="E33" s="23"/>
      <c r="F33" s="23"/>
      <c r="G33" s="23"/>
      <c r="H33" s="32"/>
    </row>
    <row r="34" spans="1:8" ht="15" customHeight="1">
      <c r="A34" s="69" t="str">
        <f>IF(ISBLANK('   VA   '!B27),"",'   VA   '!B27)</f>
        <v/>
      </c>
      <c r="B34" s="70" t="str">
        <f>IF(ISBLANK('   VA   '!B27)," ",'   VA   '!D27)</f>
        <v xml:space="preserve"> </v>
      </c>
      <c r="C34" s="71" t="str">
        <f>'   VA   '!G27</f>
        <v xml:space="preserve"> </v>
      </c>
      <c r="D34" s="33"/>
      <c r="E34" s="32"/>
      <c r="F34" s="32"/>
      <c r="G34" s="32"/>
      <c r="H34" s="32"/>
    </row>
    <row r="35" spans="1:8" ht="15" customHeight="1">
      <c r="A35" s="69" t="str">
        <f>IF(ISBLANK('   VA   '!B28),"",'   VA   '!B28)</f>
        <v/>
      </c>
      <c r="B35" s="70" t="str">
        <f>IF(ISBLANK('   VA   '!B28)," ",'   VA   '!D28)</f>
        <v xml:space="preserve"> </v>
      </c>
      <c r="C35" s="71" t="str">
        <f>'   VA   '!G28</f>
        <v xml:space="preserve"> </v>
      </c>
      <c r="D35" s="33"/>
      <c r="E35" s="32"/>
      <c r="F35" s="32"/>
      <c r="G35" s="32"/>
      <c r="H35" s="32"/>
    </row>
    <row r="36" spans="1:8" ht="15" customHeight="1">
      <c r="A36" s="69" t="str">
        <f>IF(ISBLANK('   VA   '!B29),"",'   VA   '!B29)</f>
        <v/>
      </c>
      <c r="B36" s="70" t="str">
        <f>IF(ISBLANK('   VA   '!B29)," ",'   VA   '!D29)</f>
        <v xml:space="preserve"> </v>
      </c>
      <c r="C36" s="71" t="str">
        <f>'   VA   '!G29</f>
        <v xml:space="preserve"> </v>
      </c>
      <c r="D36" s="33"/>
      <c r="E36" s="32"/>
      <c r="F36" s="32"/>
      <c r="G36" s="32"/>
      <c r="H36" s="32"/>
    </row>
    <row r="37" spans="1:8" ht="15" customHeight="1">
      <c r="A37" s="69" t="str">
        <f>IF(ISBLANK('   VA   '!B30),"",'   VA   '!B30)</f>
        <v/>
      </c>
      <c r="B37" s="70" t="str">
        <f>IF(ISBLANK('   VA   '!B30)," ",'   VA   '!D30)</f>
        <v xml:space="preserve"> </v>
      </c>
      <c r="C37" s="71" t="str">
        <f>'   VA   '!G30</f>
        <v xml:space="preserve"> </v>
      </c>
      <c r="D37" s="33"/>
      <c r="E37" s="32"/>
      <c r="F37" s="32"/>
      <c r="G37" s="32"/>
      <c r="H37" s="32"/>
    </row>
    <row r="38" spans="1:8" ht="15" customHeight="1">
      <c r="A38" s="69" t="str">
        <f>IF(ISBLANK('   VA   '!B31),"",'   VA   '!B31)</f>
        <v/>
      </c>
      <c r="B38" s="70" t="str">
        <f>IF(ISBLANK('   VA   '!B31)," ",'   VA   '!D31)</f>
        <v xml:space="preserve"> </v>
      </c>
      <c r="C38" s="71" t="str">
        <f>'   VA   '!G31</f>
        <v xml:space="preserve"> </v>
      </c>
      <c r="D38" s="33"/>
      <c r="E38" s="32"/>
      <c r="F38" s="32"/>
      <c r="G38" s="32"/>
      <c r="H38" s="32"/>
    </row>
    <row r="39" spans="1:8" ht="15" customHeight="1">
      <c r="A39" s="69" t="str">
        <f>IF(ISBLANK('   VA   '!B32),"",'   VA   '!B32)</f>
        <v/>
      </c>
      <c r="B39" s="70" t="str">
        <f>IF(ISBLANK('   VA   '!B32)," ",'   VA   '!D32)</f>
        <v xml:space="preserve"> </v>
      </c>
      <c r="C39" s="71" t="str">
        <f>'   VA   '!G32</f>
        <v xml:space="preserve"> </v>
      </c>
      <c r="D39" s="33"/>
      <c r="E39" s="32"/>
      <c r="F39" s="32"/>
      <c r="G39" s="32"/>
      <c r="H39" s="32"/>
    </row>
    <row r="40" spans="1:8" ht="15" customHeight="1">
      <c r="A40" s="69" t="str">
        <f>IF(ISBLANK('   VA   '!B33),"",'   VA   '!B33)</f>
        <v/>
      </c>
      <c r="B40" s="70" t="str">
        <f>IF(ISBLANK('   VA   '!B33)," ",'   VA   '!D33)</f>
        <v xml:space="preserve"> </v>
      </c>
      <c r="C40" s="71" t="str">
        <f>'   VA   '!G33</f>
        <v xml:space="preserve"> </v>
      </c>
      <c r="D40" s="33"/>
      <c r="E40" s="32"/>
      <c r="F40" s="32"/>
      <c r="G40" s="32"/>
      <c r="H40" s="32"/>
    </row>
    <row r="41" spans="1:8" ht="15" customHeight="1">
      <c r="A41" s="69" t="str">
        <f>IF(ISBLANK('   VA   '!B34),"",'   VA   '!B34)</f>
        <v/>
      </c>
      <c r="B41" s="70" t="str">
        <f>IF(ISBLANK('   VA   '!B34)," ",'   VA   '!D34)</f>
        <v xml:space="preserve"> </v>
      </c>
      <c r="C41" s="71" t="str">
        <f>'   VA   '!G34</f>
        <v xml:space="preserve"> </v>
      </c>
      <c r="D41" s="33"/>
      <c r="E41" s="32"/>
      <c r="F41" s="32"/>
      <c r="G41" s="32"/>
      <c r="H41" s="32"/>
    </row>
    <row r="42" spans="1:8" ht="15" customHeight="1">
      <c r="A42" s="69" t="str">
        <f>IF(ISBLANK('   VA   '!B35),"",'   VA   '!B35)</f>
        <v/>
      </c>
      <c r="B42" s="70" t="str">
        <f>IF(ISBLANK('   VA   '!B35)," ",'   VA   '!D35)</f>
        <v xml:space="preserve"> </v>
      </c>
      <c r="C42" s="71" t="str">
        <f>'   VA   '!G35</f>
        <v xml:space="preserve"> </v>
      </c>
      <c r="D42" s="33"/>
      <c r="E42" s="32"/>
      <c r="F42" s="32"/>
      <c r="G42" s="32"/>
      <c r="H42" s="32"/>
    </row>
    <row r="43" spans="1:8" ht="15" customHeight="1">
      <c r="A43" s="69" t="str">
        <f>IF(ISBLANK('   VA   '!B36),"",'   VA   '!B36)</f>
        <v/>
      </c>
      <c r="B43" s="70" t="str">
        <f>IF(ISBLANK('   VA   '!B36)," ",'   VA   '!D36)</f>
        <v xml:space="preserve"> </v>
      </c>
      <c r="C43" s="71" t="str">
        <f>'   VA   '!G36</f>
        <v xml:space="preserve"> </v>
      </c>
      <c r="D43" s="32"/>
      <c r="E43" s="32"/>
      <c r="F43" s="32"/>
      <c r="G43" s="32"/>
      <c r="H43" s="32"/>
    </row>
    <row r="44" spans="1:8" ht="5.4" customHeight="1">
      <c r="A44" s="81"/>
      <c r="B44" s="70" t="str">
        <f>IF(ISBLANK('   VA   '!B37)," ",'   VA   '!D37)</f>
        <v xml:space="preserve"> </v>
      </c>
      <c r="C44" s="82">
        <f>'   GL   '!G35</f>
        <v>0</v>
      </c>
      <c r="D44" s="32"/>
      <c r="E44" s="32"/>
      <c r="F44" s="32"/>
      <c r="G44" s="32"/>
      <c r="H44" s="32"/>
    </row>
    <row r="45" spans="1:8" ht="12.9" customHeight="1">
      <c r="A45" s="78" t="s">
        <v>248</v>
      </c>
      <c r="B45" s="48"/>
      <c r="C45" s="48"/>
      <c r="D45" s="48"/>
      <c r="E45" s="48"/>
      <c r="F45" s="48"/>
      <c r="G45" s="48"/>
      <c r="H45" s="49"/>
    </row>
    <row r="46" spans="1:8" ht="4.2" customHeight="1">
      <c r="A46" s="50"/>
      <c r="H46" s="51"/>
    </row>
    <row r="47" spans="1:8" ht="12" customHeight="1">
      <c r="A47" s="52" t="s">
        <v>42</v>
      </c>
      <c r="B47" s="45" t="e">
        <f>'   VA   '!H41</f>
        <v>#DIV/0!</v>
      </c>
      <c r="C47" s="32"/>
      <c r="D47" s="782" t="s">
        <v>54</v>
      </c>
      <c r="E47" s="782"/>
      <c r="F47" s="45" t="e">
        <f>'   VA   '!R41</f>
        <v>#DIV/0!</v>
      </c>
      <c r="G47" s="32" t="s">
        <v>249</v>
      </c>
      <c r="H47" s="51"/>
    </row>
    <row r="48" spans="1:8" ht="12" customHeight="1">
      <c r="A48" s="52" t="s">
        <v>44</v>
      </c>
      <c r="B48" s="45" t="e">
        <f>'   VA   '!I41</f>
        <v>#DIV/0!</v>
      </c>
      <c r="C48" s="32" t="s">
        <v>249</v>
      </c>
      <c r="D48" s="782" t="s">
        <v>193</v>
      </c>
      <c r="E48" s="782"/>
      <c r="F48" s="45" t="e">
        <f>'   VA   '!S41</f>
        <v>#DIV/0!</v>
      </c>
      <c r="G48" s="32" t="s">
        <v>249</v>
      </c>
      <c r="H48" s="51"/>
    </row>
    <row r="49" spans="1:8" ht="12" customHeight="1">
      <c r="A49" s="52" t="s">
        <v>45</v>
      </c>
      <c r="B49" s="45" t="e">
        <f>'   VA   '!J41</f>
        <v>#DIV/0!</v>
      </c>
      <c r="C49" s="32" t="s">
        <v>249</v>
      </c>
      <c r="D49" s="782" t="s">
        <v>56</v>
      </c>
      <c r="E49" s="782"/>
      <c r="F49" s="45" t="e">
        <f>'   VA   '!T41</f>
        <v>#DIV/0!</v>
      </c>
      <c r="G49" s="32" t="s">
        <v>249</v>
      </c>
      <c r="H49" s="51"/>
    </row>
    <row r="50" spans="1:8" ht="12" customHeight="1">
      <c r="A50" s="52" t="s">
        <v>46</v>
      </c>
      <c r="B50" s="46" t="e">
        <f>'   VA   '!K41</f>
        <v>#DIV/0!</v>
      </c>
      <c r="C50" s="32"/>
      <c r="D50" s="782" t="s">
        <v>57</v>
      </c>
      <c r="E50" s="782"/>
      <c r="F50" s="45" t="e">
        <f>'   VA   '!U41</f>
        <v>#DIV/0!</v>
      </c>
      <c r="G50" s="32" t="s">
        <v>249</v>
      </c>
      <c r="H50" s="51"/>
    </row>
    <row r="51" spans="1:8" ht="12" customHeight="1">
      <c r="A51" s="52" t="s">
        <v>48</v>
      </c>
      <c r="B51" s="45" t="e">
        <f>'   VA   '!L41</f>
        <v>#DIV/0!</v>
      </c>
      <c r="C51" s="32" t="s">
        <v>249</v>
      </c>
      <c r="D51" s="782" t="s">
        <v>51</v>
      </c>
      <c r="E51" s="782"/>
      <c r="F51" s="47" t="e">
        <f>'   VA   '!O41</f>
        <v>#DIV/0!</v>
      </c>
      <c r="G51" s="32" t="s">
        <v>249</v>
      </c>
      <c r="H51" s="51"/>
    </row>
    <row r="52" spans="1:8" ht="12" customHeight="1">
      <c r="A52" s="52" t="s">
        <v>49</v>
      </c>
      <c r="B52" s="45" t="e">
        <f>'   VA   '!M41</f>
        <v>#DIV/0!</v>
      </c>
      <c r="C52" s="32" t="s">
        <v>249</v>
      </c>
      <c r="D52" s="782" t="s">
        <v>52</v>
      </c>
      <c r="E52" s="782"/>
      <c r="F52" s="47" t="e">
        <f>'   VA   '!P41</f>
        <v>#DIV/0!</v>
      </c>
      <c r="G52" s="32" t="s">
        <v>249</v>
      </c>
      <c r="H52" s="51"/>
    </row>
    <row r="53" spans="1:8" ht="12" customHeight="1">
      <c r="A53" s="52" t="s">
        <v>250</v>
      </c>
      <c r="B53" s="45" t="e">
        <f>'   VA   '!N41</f>
        <v>#DIV/0!</v>
      </c>
      <c r="C53" s="32" t="s">
        <v>249</v>
      </c>
      <c r="D53" s="782" t="s">
        <v>251</v>
      </c>
      <c r="E53" s="782"/>
      <c r="F53" s="45" t="e">
        <f>'   VA   '!V41</f>
        <v>#DIV/0!</v>
      </c>
      <c r="G53" s="32" t="s">
        <v>249</v>
      </c>
      <c r="H53" s="51"/>
    </row>
    <row r="54" spans="1:8" ht="12" customHeight="1">
      <c r="A54" s="53" t="s">
        <v>192</v>
      </c>
      <c r="B54" s="54" t="e">
        <f>'   VA   '!Q41</f>
        <v>#DIV/0!</v>
      </c>
      <c r="C54" s="31" t="s">
        <v>249</v>
      </c>
      <c r="D54" s="31"/>
      <c r="E54" s="31"/>
      <c r="F54" s="31"/>
      <c r="G54" s="31"/>
      <c r="H54" s="55"/>
    </row>
    <row r="55" spans="1:8" ht="7.5" customHeight="1"/>
    <row r="56" spans="1:8" ht="15" customHeight="1">
      <c r="A56" s="79" t="s">
        <v>252</v>
      </c>
      <c r="B56" s="64"/>
      <c r="C56" s="64"/>
      <c r="D56" s="64"/>
      <c r="E56" s="64"/>
      <c r="F56" s="64"/>
      <c r="G56" s="64"/>
      <c r="H56" s="65"/>
    </row>
    <row r="57" spans="1:8" ht="12.9" customHeight="1">
      <c r="A57" s="50"/>
      <c r="H57" s="66"/>
    </row>
    <row r="58" spans="1:8" ht="12" customHeight="1">
      <c r="A58" s="50"/>
      <c r="H58" s="66"/>
    </row>
    <row r="59" spans="1:8" ht="12" customHeight="1">
      <c r="A59" s="50"/>
      <c r="H59" s="66"/>
    </row>
    <row r="60" spans="1:8" ht="15" customHeight="1">
      <c r="A60" s="67"/>
      <c r="B60" s="41"/>
      <c r="C60" s="41"/>
      <c r="D60" s="41"/>
      <c r="E60" s="41"/>
      <c r="F60" s="41"/>
      <c r="G60" s="41"/>
      <c r="H60" s="55"/>
    </row>
  </sheetData>
  <sheetProtection algorithmName="SHA-512" hashValue="RT5dLtcKxQzcG4Oi2Z1eLYSSRLipv1C4kbayrrkOavm77j3CsmwTkSApelgi1KhXW5m7XR4+aACKSu4KMHfUqA==" saltValue="/H1mVDs8aUVjKqHvt0gODg==" spinCount="100000" sheet="1" objects="1" scenarios="1" selectLockedCells="1" selectUnlockedCells="1"/>
  <mergeCells count="9">
    <mergeCell ref="D51:E51"/>
    <mergeCell ref="D52:E52"/>
    <mergeCell ref="D53:E53"/>
    <mergeCell ref="G2:H2"/>
    <mergeCell ref="A8:H8"/>
    <mergeCell ref="D47:E47"/>
    <mergeCell ref="D48:E48"/>
    <mergeCell ref="D49:E49"/>
    <mergeCell ref="D50:E50"/>
  </mergeCells>
  <pageMargins left="0.23622047244094491" right="0.23622047244094491" top="0.35433070866141736" bottom="0.35433070866141736" header="0.31496062992125984" footer="0.31496062992125984"/>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203E0-A32A-4A7B-A4B7-F97019D5CDCA}">
  <sheetPr codeName="Feuil14">
    <tabColor rgb="FFFCEB6A"/>
  </sheetPr>
  <dimension ref="A1:AE72"/>
  <sheetViews>
    <sheetView showGridLines="0" zoomScaleNormal="100" workbookViewId="0">
      <selection activeCell="F12" sqref="F12"/>
    </sheetView>
  </sheetViews>
  <sheetFormatPr baseColWidth="10" defaultColWidth="11.44140625" defaultRowHeight="13.8"/>
  <cols>
    <col min="1" max="1" width="4.6640625" style="109" customWidth="1"/>
    <col min="2" max="2" width="28.44140625" style="109" customWidth="1"/>
    <col min="3" max="3" width="5.6640625" style="109" customWidth="1"/>
    <col min="4" max="5" width="8.6640625" style="109" customWidth="1"/>
    <col min="6" max="6" width="10.109375" style="109" customWidth="1"/>
    <col min="7" max="18" width="8.6640625" style="109" customWidth="1"/>
    <col min="19" max="19" width="11.109375" style="109" customWidth="1"/>
    <col min="20" max="23" width="8.6640625" style="109" customWidth="1"/>
    <col min="24" max="28" width="11.44140625" style="109"/>
    <col min="29" max="29" width="18" style="295" bestFit="1" customWidth="1"/>
    <col min="30" max="30" width="11.44140625" style="295"/>
    <col min="31" max="16384" width="11.44140625" style="109"/>
  </cols>
  <sheetData>
    <row r="1" spans="1:31" ht="25.5" customHeight="1">
      <c r="B1" s="536" t="s">
        <v>254</v>
      </c>
      <c r="C1" s="536"/>
      <c r="D1" s="536"/>
      <c r="E1" s="536"/>
      <c r="F1" s="536"/>
      <c r="G1" s="536"/>
      <c r="H1" s="536"/>
      <c r="I1" s="536"/>
      <c r="J1" s="536"/>
      <c r="K1" s="536"/>
      <c r="L1" s="536"/>
      <c r="M1" s="536"/>
      <c r="N1" s="536"/>
      <c r="O1" s="536"/>
      <c r="P1" s="536"/>
      <c r="Q1" s="536"/>
      <c r="R1" s="536"/>
      <c r="S1" s="536"/>
      <c r="T1" s="536"/>
      <c r="U1" s="536"/>
      <c r="V1" s="536"/>
      <c r="W1" s="536"/>
    </row>
    <row r="2" spans="1:31" ht="14.4" thickBot="1"/>
    <row r="3" spans="1:31" ht="15.6">
      <c r="B3" s="90" t="s">
        <v>158</v>
      </c>
      <c r="C3" s="777"/>
      <c r="D3" s="777"/>
      <c r="E3" s="777"/>
      <c r="F3" s="778"/>
      <c r="M3" s="83" t="s">
        <v>159</v>
      </c>
      <c r="N3" s="535">
        <f>D50</f>
        <v>0</v>
      </c>
      <c r="O3" s="440">
        <f>G35/(D10/100)</f>
        <v>0</v>
      </c>
      <c r="P3" s="496" t="s">
        <v>280</v>
      </c>
      <c r="Q3" s="516"/>
      <c r="S3" s="111"/>
      <c r="T3" s="112" t="s">
        <v>260</v>
      </c>
      <c r="U3" s="111"/>
      <c r="V3" s="111"/>
    </row>
    <row r="4" spans="1:31" ht="15.6">
      <c r="B4" s="92" t="s">
        <v>161</v>
      </c>
      <c r="C4" s="779"/>
      <c r="D4" s="779"/>
      <c r="E4" s="779"/>
      <c r="F4" s="779"/>
      <c r="M4" s="83" t="s">
        <v>281</v>
      </c>
      <c r="N4" s="498" t="e">
        <f>(L36-M36)/K36</f>
        <v>#DIV/0!</v>
      </c>
      <c r="O4" s="1"/>
      <c r="P4" s="1"/>
      <c r="Q4" s="1"/>
    </row>
    <row r="5" spans="1:31" ht="16.2" thickBot="1">
      <c r="B5" s="91" t="s">
        <v>163</v>
      </c>
      <c r="C5" s="780"/>
      <c r="D5" s="780"/>
      <c r="E5" s="780"/>
      <c r="F5" s="781"/>
      <c r="M5" s="83" t="s">
        <v>282</v>
      </c>
      <c r="N5" s="443" t="e">
        <f>(MIN(L36:M36)/K36)</f>
        <v>#DIV/0!</v>
      </c>
      <c r="O5" s="1"/>
      <c r="P5" s="1"/>
      <c r="Q5" s="1"/>
    </row>
    <row r="6" spans="1:31" ht="9.75" customHeight="1">
      <c r="B6" s="1"/>
    </row>
    <row r="7" spans="1:31" ht="15.6">
      <c r="B7" s="11" t="s">
        <v>359</v>
      </c>
    </row>
    <row r="8" spans="1:31" ht="6" customHeight="1" thickBot="1">
      <c r="B8" s="1"/>
    </row>
    <row r="9" spans="1:31">
      <c r="B9" s="264" t="s">
        <v>360</v>
      </c>
      <c r="C9" s="377"/>
      <c r="D9" s="418" t="s">
        <v>361</v>
      </c>
      <c r="F9" s="18" t="s">
        <v>168</v>
      </c>
      <c r="G9" s="18"/>
      <c r="H9" s="217" t="s">
        <v>169</v>
      </c>
      <c r="I9" s="218" t="s">
        <v>46</v>
      </c>
      <c r="J9" s="218" t="s">
        <v>48</v>
      </c>
      <c r="K9" s="218" t="s">
        <v>49</v>
      </c>
      <c r="L9" s="218" t="s">
        <v>362</v>
      </c>
      <c r="M9" s="218" t="s">
        <v>172</v>
      </c>
      <c r="N9" s="219" t="s">
        <v>173</v>
      </c>
    </row>
    <row r="10" spans="1:31">
      <c r="B10" s="265" t="s">
        <v>167</v>
      </c>
      <c r="C10" s="117"/>
      <c r="D10" s="124">
        <v>450</v>
      </c>
      <c r="F10" s="337" t="s">
        <v>181</v>
      </c>
      <c r="G10" s="395"/>
      <c r="H10" s="396">
        <f>IF(AD26=0,0.0346*D10^0.9,0.0311*D10^0.9)</f>
        <v>8.4521532176867105</v>
      </c>
      <c r="I10" s="398">
        <f>(0.0454+0.024*(D11/1000)^1.4)*D10^0.75</f>
        <v>6.780611404923687</v>
      </c>
      <c r="J10" s="397">
        <f>I10*92</f>
        <v>623.81624925297922</v>
      </c>
      <c r="K10" s="397">
        <f>I10*92</f>
        <v>623.81624925297922</v>
      </c>
      <c r="L10" s="397">
        <f>L11*H10</f>
        <v>-109.87799182992724</v>
      </c>
      <c r="M10" s="397">
        <f>5.01+0.0313*D10+0.0334*D11</f>
        <v>52.494999999999997</v>
      </c>
      <c r="N10" s="399">
        <f>2.121+0.02475*D10+0.007*D11</f>
        <v>20.258500000000002</v>
      </c>
      <c r="O10" s="379"/>
      <c r="P10" s="379"/>
    </row>
    <row r="11" spans="1:31" ht="14.4" thickBot="1">
      <c r="B11" s="266" t="s">
        <v>363</v>
      </c>
      <c r="C11" s="297"/>
      <c r="D11" s="298">
        <v>1000</v>
      </c>
      <c r="F11" s="330" t="s">
        <v>184</v>
      </c>
      <c r="G11" s="343"/>
      <c r="H11" s="332">
        <v>1</v>
      </c>
      <c r="I11" s="446">
        <f>I10/$H$10</f>
        <v>0.80223479512117601</v>
      </c>
      <c r="J11" s="333">
        <f>J10/$H$10</f>
        <v>73.805601151148196</v>
      </c>
      <c r="K11" s="333">
        <f>K10/$H$10</f>
        <v>73.805601151148196</v>
      </c>
      <c r="L11" s="333">
        <v>-13</v>
      </c>
      <c r="M11" s="335">
        <f>M10/H10</f>
        <v>6.2108433967040027</v>
      </c>
      <c r="N11" s="534">
        <f>N10/H10</f>
        <v>2.3968448605034394</v>
      </c>
    </row>
    <row r="12" spans="1:31" ht="14.4">
      <c r="W12" s="125"/>
    </row>
    <row r="13" spans="1:31" ht="15.6">
      <c r="B13" s="110" t="s">
        <v>186</v>
      </c>
    </row>
    <row r="14" spans="1:31" ht="12" customHeight="1" thickBot="1"/>
    <row r="15" spans="1:31" s="132" customFormat="1" ht="31.5" customHeight="1">
      <c r="A15" s="384"/>
      <c r="B15" s="403" t="s">
        <v>40</v>
      </c>
      <c r="C15" s="246" t="s">
        <v>187</v>
      </c>
      <c r="D15" s="246" t="s">
        <v>188</v>
      </c>
      <c r="E15" s="246" t="s">
        <v>189</v>
      </c>
      <c r="F15" s="246" t="s">
        <v>190</v>
      </c>
      <c r="G15" s="246" t="s">
        <v>191</v>
      </c>
      <c r="H15" s="246" t="s">
        <v>42</v>
      </c>
      <c r="I15" s="246" t="s">
        <v>44</v>
      </c>
      <c r="J15" s="246" t="s">
        <v>45</v>
      </c>
      <c r="K15" s="246" t="s">
        <v>46</v>
      </c>
      <c r="L15" s="246" t="s">
        <v>48</v>
      </c>
      <c r="M15" s="246" t="s">
        <v>49</v>
      </c>
      <c r="N15" s="246" t="s">
        <v>50</v>
      </c>
      <c r="O15" s="246" t="s">
        <v>51</v>
      </c>
      <c r="P15" s="246" t="s">
        <v>52</v>
      </c>
      <c r="Q15" s="246" t="s">
        <v>192</v>
      </c>
      <c r="R15" s="246" t="s">
        <v>54</v>
      </c>
      <c r="S15" s="246" t="s">
        <v>193</v>
      </c>
      <c r="T15" s="246" t="s">
        <v>56</v>
      </c>
      <c r="U15" s="246" t="s">
        <v>57</v>
      </c>
      <c r="V15" s="246" t="s">
        <v>59</v>
      </c>
      <c r="W15" s="273" t="s">
        <v>194</v>
      </c>
      <c r="AC15" s="295" t="s">
        <v>231</v>
      </c>
      <c r="AD15" s="295" t="s">
        <v>345</v>
      </c>
      <c r="AE15" s="109"/>
    </row>
    <row r="16" spans="1:31">
      <c r="A16" s="385"/>
      <c r="B16" s="386"/>
      <c r="C16" s="89" t="str">
        <f>IF(ISBLANK(B16),"",INDEX('Liste des aliments'!$B$6:$B$966,MATCH(B16,'Liste des aliments'!$C$6:$C$966,0)))</f>
        <v/>
      </c>
      <c r="D16" s="135"/>
      <c r="E16" s="136"/>
      <c r="F16" s="7" t="str">
        <f>IF(ISBLANK($B16)," ",VLOOKUP($B16,'Liste des aliments'!$C$6:$W$966,2,FALSE))</f>
        <v xml:space="preserve"> </v>
      </c>
      <c r="G16" s="8" t="str">
        <f>IF(ISBLANK(B16)," ",(D16*E16/100))</f>
        <v xml:space="preserve"> </v>
      </c>
      <c r="H16" s="9" t="str">
        <f>IF(ISBLANK($B16)," ",VLOOKUP($B16,'Liste des aliments'!$C$6:$W$966,3,FALSE))</f>
        <v xml:space="preserve"> </v>
      </c>
      <c r="I16" s="9" t="str">
        <f>IF(ISBLANK($B16)," ",VLOOKUP($B16,'Liste des aliments'!$C$6:$W$966,5,FALSE))</f>
        <v xml:space="preserve"> </v>
      </c>
      <c r="J16" s="9" t="str">
        <f>IF(ISBLANK($B16)," ",VLOOKUP($B16,'Liste des aliments'!$C$6:$W$966,6,FALSE))</f>
        <v xml:space="preserve"> </v>
      </c>
      <c r="K16" s="8" t="str">
        <f>IF(ISBLANK($B16)," ",VLOOKUP($B16,'Liste des aliments'!$C$6:$W$966,7,FALSE))</f>
        <v xml:space="preserve"> </v>
      </c>
      <c r="L16" s="9" t="str">
        <f>IF(ISBLANK($B16)," ",VLOOKUP($B16,'Liste des aliments'!$C$6:$W$966,9,FALSE))</f>
        <v xml:space="preserve"> </v>
      </c>
      <c r="M16" s="9" t="str">
        <f>IF(ISBLANK($B16)," ",VLOOKUP($B16,'Liste des aliments'!$C$6:$W$966,10,FALSE))</f>
        <v xml:space="preserve"> </v>
      </c>
      <c r="N16" s="9" t="str">
        <f>IF(ISBLANK($B16)," ",VLOOKUP($B16,'Liste des aliments'!$C$6:$W$966,11,FALSE))</f>
        <v xml:space="preserve"> </v>
      </c>
      <c r="O16" s="7" t="str">
        <f>IF(ISBLANK($B16)," ",VLOOKUP($B16,'Liste des aliments'!$C$6:$W$966,12,FALSE))</f>
        <v xml:space="preserve"> </v>
      </c>
      <c r="P16" s="7" t="str">
        <f>IF(ISBLANK($B16)," ",VLOOKUP($B16,'Liste des aliments'!$C$6:$W$966,13,FALSE))</f>
        <v xml:space="preserve"> </v>
      </c>
      <c r="Q16" s="9" t="str">
        <f>IF(ISBLANK($B16)," ",VLOOKUP($B16,'Liste des aliments'!$C$6:$W$966,14,FALSE))</f>
        <v xml:space="preserve"> </v>
      </c>
      <c r="R16" s="9" t="str">
        <f>IF(ISBLANK($B16)," ",VLOOKUP($B16,'Liste des aliments'!$C$6:$W$966,15,FALSE))</f>
        <v xml:space="preserve"> </v>
      </c>
      <c r="S16" s="9" t="str">
        <f>IF(ISBLANK($B16)," ",VLOOKUP($B16,'Liste des aliments'!$C$6:$W$966,16,FALSE))</f>
        <v xml:space="preserve"> </v>
      </c>
      <c r="T16" s="9" t="str">
        <f>IF(ISBLANK($B16)," ",VLOOKUP($B16,'Liste des aliments'!$C$6:$W$966,17,FALSE))</f>
        <v xml:space="preserve"> </v>
      </c>
      <c r="U16" s="9" t="str">
        <f>IF(ISBLANK($B16)," ",VLOOKUP($B16,'Liste des aliments'!$C$6:$W$966,18,FALSE))</f>
        <v xml:space="preserve"> </v>
      </c>
      <c r="V16" s="9" t="str">
        <f>IF(ISBLANK($B16)," ",VLOOKUP($B16,'Liste des aliments'!$C$6:$W$966,20,FALSE))</f>
        <v xml:space="preserve"> </v>
      </c>
      <c r="W16" s="107"/>
      <c r="AC16" s="295" t="s">
        <v>290</v>
      </c>
      <c r="AD16" s="295">
        <v>0</v>
      </c>
    </row>
    <row r="17" spans="1:31">
      <c r="A17" s="385"/>
      <c r="B17" s="387"/>
      <c r="C17" s="89" t="str">
        <f>IF(ISBLANK(B17),"",INDEX('Liste des aliments'!$B$6:$B$966,MATCH(B17,'Liste des aliments'!$C$6:$C$966,0)))</f>
        <v/>
      </c>
      <c r="D17" s="138"/>
      <c r="E17" s="139"/>
      <c r="F17" s="13" t="str">
        <f>IF(ISBLANK($B17)," ",VLOOKUP($B17,'Liste des aliments'!$C$6:$W$966,'Liste des aliments'!D$1-2,FALSE))</f>
        <v xml:space="preserve"> </v>
      </c>
      <c r="G17" s="14" t="str">
        <f t="shared" ref="G17:G31" si="0">IF(ISBLANK(B17)," ",(D17*E17/100))</f>
        <v xml:space="preserve"> </v>
      </c>
      <c r="H17" s="12" t="str">
        <f>IF(ISBLANK($B17)," ",VLOOKUP($B17,'Liste des aliments'!$C$6:$W$966,3,FALSE))</f>
        <v xml:space="preserve"> </v>
      </c>
      <c r="I17" s="12" t="str">
        <f>IF(ISBLANK($B17)," ",VLOOKUP($B17,'Liste des aliments'!$C$6:$W$966,5,FALSE))</f>
        <v xml:space="preserve"> </v>
      </c>
      <c r="J17" s="12" t="str">
        <f>IF(ISBLANK($B17)," ",VLOOKUP($B17,'Liste des aliments'!$C$6:$W$966,6,FALSE))</f>
        <v xml:space="preserve"> </v>
      </c>
      <c r="K17" s="14" t="str">
        <f>IF(ISBLANK($B17)," ",VLOOKUP($B17,'Liste des aliments'!$C$6:$W$966,7,FALSE))</f>
        <v xml:space="preserve"> </v>
      </c>
      <c r="L17" s="12" t="str">
        <f>IF(ISBLANK($B17)," ",VLOOKUP($B17,'Liste des aliments'!$C$6:$W$966,9,FALSE))</f>
        <v xml:space="preserve"> </v>
      </c>
      <c r="M17" s="12" t="str">
        <f>IF(ISBLANK($B17)," ",VLOOKUP($B17,'Liste des aliments'!$C$6:$W$966,10,FALSE))</f>
        <v xml:space="preserve"> </v>
      </c>
      <c r="N17" s="12" t="str">
        <f>IF(ISBLANK($B17)," ",VLOOKUP($B17,'Liste des aliments'!$C$6:$W$966,11,FALSE))</f>
        <v xml:space="preserve"> </v>
      </c>
      <c r="O17" s="13" t="str">
        <f>IF(ISBLANK($B17)," ",VLOOKUP($B17,'Liste des aliments'!$C$6:$W$966,12,FALSE))</f>
        <v xml:space="preserve"> </v>
      </c>
      <c r="P17" s="13" t="str">
        <f>IF(ISBLANK($B17)," ",VLOOKUP($B17,'Liste des aliments'!$C$6:$W$966,13,FALSE))</f>
        <v xml:space="preserve"> </v>
      </c>
      <c r="Q17" s="12" t="str">
        <f>IF(ISBLANK($B17)," ",VLOOKUP($B17,'Liste des aliments'!$C$6:$W$966,14,FALSE))</f>
        <v xml:space="preserve"> </v>
      </c>
      <c r="R17" s="12" t="str">
        <f>IF(ISBLANK($B17)," ",VLOOKUP($B17,'Liste des aliments'!$C$6:$W$966,15,FALSE))</f>
        <v xml:space="preserve"> </v>
      </c>
      <c r="S17" s="12" t="str">
        <f>IF(ISBLANK($B17)," ",VLOOKUP($B17,'Liste des aliments'!$C$6:$W$966,16,FALSE))</f>
        <v xml:space="preserve"> </v>
      </c>
      <c r="T17" s="12" t="str">
        <f>IF(ISBLANK($B17)," ",VLOOKUP($B17,'Liste des aliments'!$C$6:$W$966,17,FALSE))</f>
        <v xml:space="preserve"> </v>
      </c>
      <c r="U17" s="12" t="str">
        <f>IF(ISBLANK($B17)," ",VLOOKUP($B17,'Liste des aliments'!$C$6:$W$966,18,FALSE))</f>
        <v xml:space="preserve"> </v>
      </c>
      <c r="V17" s="12" t="str">
        <f>IF(ISBLANK($B17)," ",VLOOKUP($B17,'Liste des aliments'!$C$6:$W$966,20,FALSE))</f>
        <v xml:space="preserve"> </v>
      </c>
      <c r="W17" s="107"/>
      <c r="AC17" s="295" t="s">
        <v>292</v>
      </c>
      <c r="AD17" s="295">
        <v>1</v>
      </c>
    </row>
    <row r="18" spans="1:31">
      <c r="A18" s="385"/>
      <c r="B18" s="387"/>
      <c r="C18" s="89" t="str">
        <f>IF(ISBLANK(B18),"",INDEX('Liste des aliments'!$B$6:$B$966,MATCH(B18,'Liste des aliments'!$C$6:$C$966,0)))</f>
        <v/>
      </c>
      <c r="D18" s="138"/>
      <c r="E18" s="139"/>
      <c r="F18" s="13" t="str">
        <f>IF(ISBLANK($B18)," ",VLOOKUP($B18,'Liste des aliments'!$C$6:$W$966,'Liste des aliments'!D$1-2,FALSE))</f>
        <v xml:space="preserve"> </v>
      </c>
      <c r="G18" s="14" t="str">
        <f t="shared" si="0"/>
        <v xml:space="preserve"> </v>
      </c>
      <c r="H18" s="12" t="str">
        <f>IF(ISBLANK($B18)," ",VLOOKUP($B18,'Liste des aliments'!$C$6:$W$966,3,FALSE))</f>
        <v xml:space="preserve"> </v>
      </c>
      <c r="I18" s="12" t="str">
        <f>IF(ISBLANK($B18)," ",VLOOKUP($B18,'Liste des aliments'!$C$6:$W$966,5,FALSE))</f>
        <v xml:space="preserve"> </v>
      </c>
      <c r="J18" s="12" t="str">
        <f>IF(ISBLANK($B18)," ",VLOOKUP($B18,'Liste des aliments'!$C$6:$W$966,6,FALSE))</f>
        <v xml:space="preserve"> </v>
      </c>
      <c r="K18" s="14" t="str">
        <f>IF(ISBLANK($B18)," ",VLOOKUP($B18,'Liste des aliments'!$C$6:$W$966,7,FALSE))</f>
        <v xml:space="preserve"> </v>
      </c>
      <c r="L18" s="12" t="str">
        <f>IF(ISBLANK($B18)," ",VLOOKUP($B18,'Liste des aliments'!$C$6:$W$966,9,FALSE))</f>
        <v xml:space="preserve"> </v>
      </c>
      <c r="M18" s="12" t="str">
        <f>IF(ISBLANK($B18)," ",VLOOKUP($B18,'Liste des aliments'!$C$6:$W$966,10,FALSE))</f>
        <v xml:space="preserve"> </v>
      </c>
      <c r="N18" s="12" t="str">
        <f>IF(ISBLANK($B18)," ",VLOOKUP($B18,'Liste des aliments'!$C$6:$W$966,11,FALSE))</f>
        <v xml:space="preserve"> </v>
      </c>
      <c r="O18" s="13" t="str">
        <f>IF(ISBLANK($B18)," ",VLOOKUP($B18,'Liste des aliments'!$C$6:$W$966,12,FALSE))</f>
        <v xml:space="preserve"> </v>
      </c>
      <c r="P18" s="13" t="str">
        <f>IF(ISBLANK($B18)," ",VLOOKUP($B18,'Liste des aliments'!$C$6:$W$966,13,FALSE))</f>
        <v xml:space="preserve"> </v>
      </c>
      <c r="Q18" s="12" t="str">
        <f>IF(ISBLANK($B18)," ",VLOOKUP($B18,'Liste des aliments'!$C$6:$W$966,14,FALSE))</f>
        <v xml:space="preserve"> </v>
      </c>
      <c r="R18" s="12" t="str">
        <f>IF(ISBLANK($B18)," ",VLOOKUP($B18,'Liste des aliments'!$C$6:$W$966,15,FALSE))</f>
        <v xml:space="preserve"> </v>
      </c>
      <c r="S18" s="12" t="str">
        <f>IF(ISBLANK($B18)," ",VLOOKUP($B18,'Liste des aliments'!$C$6:$W$966,16,FALSE))</f>
        <v xml:space="preserve"> </v>
      </c>
      <c r="T18" s="12" t="str">
        <f>IF(ISBLANK($B18)," ",VLOOKUP($B18,'Liste des aliments'!$C$6:$W$966,17,FALSE))</f>
        <v xml:space="preserve"> </v>
      </c>
      <c r="U18" s="12" t="str">
        <f>IF(ISBLANK($B18)," ",VLOOKUP($B18,'Liste des aliments'!$C$6:$W$966,18,FALSE))</f>
        <v xml:space="preserve"> </v>
      </c>
      <c r="V18" s="12" t="str">
        <f>IF(ISBLANK($B18)," ",VLOOKUP($B18,'Liste des aliments'!$C$6:$W$966,20,FALSE))</f>
        <v xml:space="preserve"> </v>
      </c>
      <c r="W18" s="107"/>
      <c r="AC18" s="295" t="s">
        <v>336</v>
      </c>
      <c r="AD18" s="295">
        <v>1</v>
      </c>
    </row>
    <row r="19" spans="1:31" ht="15.6">
      <c r="A19" s="385"/>
      <c r="B19" s="387"/>
      <c r="C19" s="89" t="str">
        <f>IF(ISBLANK(B19),"",INDEX('Liste des aliments'!$B$6:$B$966,MATCH(B19,'Liste des aliments'!$C$6:$C$966,0)))</f>
        <v/>
      </c>
      <c r="D19" s="138"/>
      <c r="E19" s="139"/>
      <c r="F19" s="13" t="str">
        <f>IF(ISBLANK($B19)," ",VLOOKUP($B19,'Liste des aliments'!$C$6:$W$966,'Liste des aliments'!D$1-2,FALSE))</f>
        <v xml:space="preserve"> </v>
      </c>
      <c r="G19" s="14" t="str">
        <f t="shared" si="0"/>
        <v xml:space="preserve"> </v>
      </c>
      <c r="H19" s="12" t="str">
        <f>IF(ISBLANK($B19)," ",VLOOKUP($B19,'Liste des aliments'!$C$6:$W$966,3,FALSE))</f>
        <v xml:space="preserve"> </v>
      </c>
      <c r="I19" s="12" t="str">
        <f>IF(ISBLANK($B19)," ",VLOOKUP($B19,'Liste des aliments'!$C$6:$W$966,5,FALSE))</f>
        <v xml:space="preserve"> </v>
      </c>
      <c r="J19" s="12" t="str">
        <f>IF(ISBLANK($B19)," ",VLOOKUP($B19,'Liste des aliments'!$C$6:$W$966,6,FALSE))</f>
        <v xml:space="preserve"> </v>
      </c>
      <c r="K19" s="14" t="str">
        <f>IF(ISBLANK($B19)," ",VLOOKUP($B19,'Liste des aliments'!$C$6:$W$966,7,FALSE))</f>
        <v xml:space="preserve"> </v>
      </c>
      <c r="L19" s="12" t="str">
        <f>IF(ISBLANK($B19)," ",VLOOKUP($B19,'Liste des aliments'!$C$6:$W$966,9,FALSE))</f>
        <v xml:space="preserve"> </v>
      </c>
      <c r="M19" s="12" t="str">
        <f>IF(ISBLANK($B19)," ",VLOOKUP($B19,'Liste des aliments'!$C$6:$W$966,10,FALSE))</f>
        <v xml:space="preserve"> </v>
      </c>
      <c r="N19" s="12" t="str">
        <f>IF(ISBLANK($B19)," ",VLOOKUP($B19,'Liste des aliments'!$C$6:$W$966,11,FALSE))</f>
        <v xml:space="preserve"> </v>
      </c>
      <c r="O19" s="13" t="str">
        <f>IF(ISBLANK($B19)," ",VLOOKUP($B19,'Liste des aliments'!$C$6:$W$966,12,FALSE))</f>
        <v xml:space="preserve"> </v>
      </c>
      <c r="P19" s="13" t="str">
        <f>IF(ISBLANK($B19)," ",VLOOKUP($B19,'Liste des aliments'!$C$6:$W$966,13,FALSE))</f>
        <v xml:space="preserve"> </v>
      </c>
      <c r="Q19" s="12" t="str">
        <f>IF(ISBLANK($B19)," ",VLOOKUP($B19,'Liste des aliments'!$C$6:$W$966,14,FALSE))</f>
        <v xml:space="preserve"> </v>
      </c>
      <c r="R19" s="12" t="str">
        <f>IF(ISBLANK($B19)," ",VLOOKUP($B19,'Liste des aliments'!$C$6:$W$966,15,FALSE))</f>
        <v xml:space="preserve"> </v>
      </c>
      <c r="S19" s="12" t="str">
        <f>IF(ISBLANK($B19)," ",VLOOKUP($B19,'Liste des aliments'!$C$6:$W$966,16,FALSE))</f>
        <v xml:space="preserve"> </v>
      </c>
      <c r="T19" s="12" t="str">
        <f>IF(ISBLANK($B19)," ",VLOOKUP($B19,'Liste des aliments'!$C$6:$W$966,17,FALSE))</f>
        <v xml:space="preserve"> </v>
      </c>
      <c r="U19" s="12" t="str">
        <f>IF(ISBLANK($B19)," ",VLOOKUP($B19,'Liste des aliments'!$C$6:$W$966,18,FALSE))</f>
        <v xml:space="preserve"> </v>
      </c>
      <c r="V19" s="12" t="str">
        <f>IF(ISBLANK($B19)," ",VLOOKUP($B19,'Liste des aliments'!$C$6:$W$966,20,FALSE))</f>
        <v xml:space="preserve"> </v>
      </c>
      <c r="W19" s="107"/>
      <c r="Z19" s="141"/>
      <c r="AC19" s="295" t="s">
        <v>295</v>
      </c>
      <c r="AD19" s="295">
        <v>0</v>
      </c>
    </row>
    <row r="20" spans="1:31" ht="14.4">
      <c r="A20" s="385"/>
      <c r="B20" s="387"/>
      <c r="C20" s="89" t="str">
        <f>IF(ISBLANK(B20),"",INDEX('Liste des aliments'!$B$6:$B$966,MATCH(B20,'Liste des aliments'!$C$6:$C$966,0)))</f>
        <v/>
      </c>
      <c r="D20" s="138"/>
      <c r="E20" s="139"/>
      <c r="F20" s="13" t="str">
        <f>IF(ISBLANK($B20)," ",VLOOKUP($B20,'Liste des aliments'!$C$6:$W$966,'Liste des aliments'!D$1-2,FALSE))</f>
        <v xml:space="preserve"> </v>
      </c>
      <c r="G20" s="14" t="str">
        <f t="shared" si="0"/>
        <v xml:space="preserve"> </v>
      </c>
      <c r="H20" s="12" t="str">
        <f>IF(ISBLANK($B20)," ",VLOOKUP($B20,'Liste des aliments'!$C$6:$W$966,3,FALSE))</f>
        <v xml:space="preserve"> </v>
      </c>
      <c r="I20" s="12" t="str">
        <f>IF(ISBLANK($B20)," ",VLOOKUP($B20,'Liste des aliments'!$C$6:$W$966,5,FALSE))</f>
        <v xml:space="preserve"> </v>
      </c>
      <c r="J20" s="12" t="str">
        <f>IF(ISBLANK($B20)," ",VLOOKUP($B20,'Liste des aliments'!$C$6:$W$966,6,FALSE))</f>
        <v xml:space="preserve"> </v>
      </c>
      <c r="K20" s="14" t="str">
        <f>IF(ISBLANK($B20)," ",VLOOKUP($B20,'Liste des aliments'!$C$6:$W$966,7,FALSE))</f>
        <v xml:space="preserve"> </v>
      </c>
      <c r="L20" s="12" t="str">
        <f>IF(ISBLANK($B20)," ",VLOOKUP($B20,'Liste des aliments'!$C$6:$W$966,9,FALSE))</f>
        <v xml:space="preserve"> </v>
      </c>
      <c r="M20" s="12" t="str">
        <f>IF(ISBLANK($B20)," ",VLOOKUP($B20,'Liste des aliments'!$C$6:$W$966,10,FALSE))</f>
        <v xml:space="preserve"> </v>
      </c>
      <c r="N20" s="12" t="str">
        <f>IF(ISBLANK($B20)," ",VLOOKUP($B20,'Liste des aliments'!$C$6:$W$966,11,FALSE))</f>
        <v xml:space="preserve"> </v>
      </c>
      <c r="O20" s="13" t="str">
        <f>IF(ISBLANK($B20)," ",VLOOKUP($B20,'Liste des aliments'!$C$6:$W$966,12,FALSE))</f>
        <v xml:space="preserve"> </v>
      </c>
      <c r="P20" s="13" t="str">
        <f>IF(ISBLANK($B20)," ",VLOOKUP($B20,'Liste des aliments'!$C$6:$W$966,13,FALSE))</f>
        <v xml:space="preserve"> </v>
      </c>
      <c r="Q20" s="12" t="str">
        <f>IF(ISBLANK($B20)," ",VLOOKUP($B20,'Liste des aliments'!$C$6:$W$966,14,FALSE))</f>
        <v xml:space="preserve"> </v>
      </c>
      <c r="R20" s="12" t="str">
        <f>IF(ISBLANK($B20)," ",VLOOKUP($B20,'Liste des aliments'!$C$6:$W$966,15,FALSE))</f>
        <v xml:space="preserve"> </v>
      </c>
      <c r="S20" s="12" t="str">
        <f>IF(ISBLANK($B20)," ",VLOOKUP($B20,'Liste des aliments'!$C$6:$W$966,16,FALSE))</f>
        <v xml:space="preserve"> </v>
      </c>
      <c r="T20" s="12" t="str">
        <f>IF(ISBLANK($B20)," ",VLOOKUP($B20,'Liste des aliments'!$C$6:$W$966,17,FALSE))</f>
        <v xml:space="preserve"> </v>
      </c>
      <c r="U20" s="12" t="str">
        <f>IF(ISBLANK($B20)," ",VLOOKUP($B20,'Liste des aliments'!$C$6:$W$966,18,FALSE))</f>
        <v xml:space="preserve"> </v>
      </c>
      <c r="V20" s="12" t="str">
        <f>IF(ISBLANK($B20)," ",VLOOKUP($B20,'Liste des aliments'!$C$6:$W$966,20,FALSE))</f>
        <v xml:space="preserve"> </v>
      </c>
      <c r="W20" s="107"/>
      <c r="Z20" s="300"/>
      <c r="AC20" s="295" t="s">
        <v>339</v>
      </c>
      <c r="AD20" s="295">
        <v>1</v>
      </c>
    </row>
    <row r="21" spans="1:31">
      <c r="A21" s="385"/>
      <c r="B21" s="387"/>
      <c r="C21" s="89" t="str">
        <f>IF(ISBLANK(B21),"",INDEX('Liste des aliments'!$B$6:$B$966,MATCH(B21,'Liste des aliments'!$C$6:$C$966,0)))</f>
        <v/>
      </c>
      <c r="D21" s="138"/>
      <c r="E21" s="139"/>
      <c r="F21" s="13" t="str">
        <f>IF(ISBLANK($B21)," ",VLOOKUP($B21,'Liste des aliments'!$C$6:$W$966,'Liste des aliments'!D$1-2,FALSE))</f>
        <v xml:space="preserve"> </v>
      </c>
      <c r="G21" s="14" t="str">
        <f t="shared" si="0"/>
        <v xml:space="preserve"> </v>
      </c>
      <c r="H21" s="12" t="str">
        <f>IF(ISBLANK($B21)," ",VLOOKUP($B21,'Liste des aliments'!$C$6:$W$966,3,FALSE))</f>
        <v xml:space="preserve"> </v>
      </c>
      <c r="I21" s="12" t="str">
        <f>IF(ISBLANK($B21)," ",VLOOKUP($B21,'Liste des aliments'!$C$6:$W$966,5,FALSE))</f>
        <v xml:space="preserve"> </v>
      </c>
      <c r="J21" s="12" t="str">
        <f>IF(ISBLANK($B21)," ",VLOOKUP($B21,'Liste des aliments'!$C$6:$W$966,6,FALSE))</f>
        <v xml:space="preserve"> </v>
      </c>
      <c r="K21" s="14" t="str">
        <f>IF(ISBLANK($B21)," ",VLOOKUP($B21,'Liste des aliments'!$C$6:$W$966,7,FALSE))</f>
        <v xml:space="preserve"> </v>
      </c>
      <c r="L21" s="12" t="str">
        <f>IF(ISBLANK($B21)," ",VLOOKUP($B21,'Liste des aliments'!$C$6:$W$966,9,FALSE))</f>
        <v xml:space="preserve"> </v>
      </c>
      <c r="M21" s="12" t="str">
        <f>IF(ISBLANK($B21)," ",VLOOKUP($B21,'Liste des aliments'!$C$6:$W$966,10,FALSE))</f>
        <v xml:space="preserve"> </v>
      </c>
      <c r="N21" s="12" t="str">
        <f>IF(ISBLANK($B21)," ",VLOOKUP($B21,'Liste des aliments'!$C$6:$W$966,11,FALSE))</f>
        <v xml:space="preserve"> </v>
      </c>
      <c r="O21" s="13" t="str">
        <f>IF(ISBLANK($B21)," ",VLOOKUP($B21,'Liste des aliments'!$C$6:$W$966,12,FALSE))</f>
        <v xml:space="preserve"> </v>
      </c>
      <c r="P21" s="13" t="str">
        <f>IF(ISBLANK($B21)," ",VLOOKUP($B21,'Liste des aliments'!$C$6:$W$966,13,FALSE))</f>
        <v xml:space="preserve"> </v>
      </c>
      <c r="Q21" s="12" t="str">
        <f>IF(ISBLANK($B21)," ",VLOOKUP($B21,'Liste des aliments'!$C$6:$W$966,14,FALSE))</f>
        <v xml:space="preserve"> </v>
      </c>
      <c r="R21" s="12" t="str">
        <f>IF(ISBLANK($B21)," ",VLOOKUP($B21,'Liste des aliments'!$C$6:$W$966,15,FALSE))</f>
        <v xml:space="preserve"> </v>
      </c>
      <c r="S21" s="12" t="str">
        <f>IF(ISBLANK($B21)," ",VLOOKUP($B21,'Liste des aliments'!$C$6:$W$966,16,FALSE))</f>
        <v xml:space="preserve"> </v>
      </c>
      <c r="T21" s="12" t="str">
        <f>IF(ISBLANK($B21)," ",VLOOKUP($B21,'Liste des aliments'!$C$6:$W$966,17,FALSE))</f>
        <v xml:space="preserve"> </v>
      </c>
      <c r="U21" s="12" t="str">
        <f>IF(ISBLANK($B21)," ",VLOOKUP($B21,'Liste des aliments'!$C$6:$W$966,18,FALSE))</f>
        <v xml:space="preserve"> </v>
      </c>
      <c r="V21" s="12" t="str">
        <f>IF(ISBLANK($B21)," ",VLOOKUP($B21,'Liste des aliments'!$C$6:$W$966,20,FALSE))</f>
        <v xml:space="preserve"> </v>
      </c>
      <c r="W21" s="107"/>
      <c r="AC21" s="295" t="s">
        <v>361</v>
      </c>
      <c r="AD21" s="295">
        <v>0</v>
      </c>
    </row>
    <row r="22" spans="1:31">
      <c r="A22" s="385"/>
      <c r="B22" s="387"/>
      <c r="C22" s="89" t="str">
        <f>IF(ISBLANK(B22),"",INDEX('Liste des aliments'!$B$6:$B$966,MATCH(B22,'Liste des aliments'!$C$6:$C$966,0)))</f>
        <v/>
      </c>
      <c r="D22" s="138"/>
      <c r="E22" s="139"/>
      <c r="F22" s="13" t="str">
        <f>IF(ISBLANK($B22)," ",VLOOKUP($B22,'Liste des aliments'!$C$6:$W$966,'Liste des aliments'!D$1-2,FALSE))</f>
        <v xml:space="preserve"> </v>
      </c>
      <c r="G22" s="14" t="str">
        <f t="shared" si="0"/>
        <v xml:space="preserve"> </v>
      </c>
      <c r="H22" s="12" t="str">
        <f>IF(ISBLANK($B22)," ",VLOOKUP($B22,'Liste des aliments'!$C$6:$W$966,3,FALSE))</f>
        <v xml:space="preserve"> </v>
      </c>
      <c r="I22" s="12" t="str">
        <f>IF(ISBLANK($B22)," ",VLOOKUP($B22,'Liste des aliments'!$C$6:$W$966,5,FALSE))</f>
        <v xml:space="preserve"> </v>
      </c>
      <c r="J22" s="12" t="str">
        <f>IF(ISBLANK($B22)," ",VLOOKUP($B22,'Liste des aliments'!$C$6:$W$966,6,FALSE))</f>
        <v xml:space="preserve"> </v>
      </c>
      <c r="K22" s="14" t="str">
        <f>IF(ISBLANK($B22)," ",VLOOKUP($B22,'Liste des aliments'!$C$6:$W$966,7,FALSE))</f>
        <v xml:space="preserve"> </v>
      </c>
      <c r="L22" s="12" t="str">
        <f>IF(ISBLANK($B22)," ",VLOOKUP($B22,'Liste des aliments'!$C$6:$W$966,9,FALSE))</f>
        <v xml:space="preserve"> </v>
      </c>
      <c r="M22" s="12" t="str">
        <f>IF(ISBLANK($B22)," ",VLOOKUP($B22,'Liste des aliments'!$C$6:$W$966,10,FALSE))</f>
        <v xml:space="preserve"> </v>
      </c>
      <c r="N22" s="12" t="str">
        <f>IF(ISBLANK($B22)," ",VLOOKUP($B22,'Liste des aliments'!$C$6:$W$966,11,FALSE))</f>
        <v xml:space="preserve"> </v>
      </c>
      <c r="O22" s="13" t="str">
        <f>IF(ISBLANK($B22)," ",VLOOKUP($B22,'Liste des aliments'!$C$6:$W$966,12,FALSE))</f>
        <v xml:space="preserve"> </v>
      </c>
      <c r="P22" s="13" t="str">
        <f>IF(ISBLANK($B22)," ",VLOOKUP($B22,'Liste des aliments'!$C$6:$W$966,13,FALSE))</f>
        <v xml:space="preserve"> </v>
      </c>
      <c r="Q22" s="12" t="str">
        <f>IF(ISBLANK($B22)," ",VLOOKUP($B22,'Liste des aliments'!$C$6:$W$966,14,FALSE))</f>
        <v xml:space="preserve"> </v>
      </c>
      <c r="R22" s="12" t="str">
        <f>IF(ISBLANK($B22)," ",VLOOKUP($B22,'Liste des aliments'!$C$6:$W$966,15,FALSE))</f>
        <v xml:space="preserve"> </v>
      </c>
      <c r="S22" s="12" t="str">
        <f>IF(ISBLANK($B22)," ",VLOOKUP($B22,'Liste des aliments'!$C$6:$W$966,16,FALSE))</f>
        <v xml:space="preserve"> </v>
      </c>
      <c r="T22" s="12" t="str">
        <f>IF(ISBLANK($B22)," ",VLOOKUP($B22,'Liste des aliments'!$C$6:$W$966,17,FALSE))</f>
        <v xml:space="preserve"> </v>
      </c>
      <c r="U22" s="12" t="str">
        <f>IF(ISBLANK($B22)," ",VLOOKUP($B22,'Liste des aliments'!$C$6:$W$966,18,FALSE))</f>
        <v xml:space="preserve"> </v>
      </c>
      <c r="V22" s="12" t="str">
        <f>IF(ISBLANK($B22)," ",VLOOKUP($B22,'Liste des aliments'!$C$6:$W$966,20,FALSE))</f>
        <v xml:space="preserve"> </v>
      </c>
      <c r="W22" s="107"/>
      <c r="AC22" s="295" t="s">
        <v>341</v>
      </c>
      <c r="AD22" s="295">
        <v>1</v>
      </c>
    </row>
    <row r="23" spans="1:31">
      <c r="A23" s="385"/>
      <c r="B23" s="387"/>
      <c r="C23" s="89" t="str">
        <f>IF(ISBLANK(B23),"",INDEX('Liste des aliments'!$B$6:$B$966,MATCH(B23,'Liste des aliments'!$C$6:$C$966,0)))</f>
        <v/>
      </c>
      <c r="D23" s="138"/>
      <c r="E23" s="139"/>
      <c r="F23" s="13" t="str">
        <f>IF(ISBLANK($B23)," ",VLOOKUP($B23,'Liste des aliments'!$C$6:$W$966,'Liste des aliments'!D$1-2,FALSE))</f>
        <v xml:space="preserve"> </v>
      </c>
      <c r="G23" s="14" t="str">
        <f t="shared" si="0"/>
        <v xml:space="preserve"> </v>
      </c>
      <c r="H23" s="12" t="str">
        <f>IF(ISBLANK($B23)," ",VLOOKUP($B23,'Liste des aliments'!$C$6:$W$966,3,FALSE))</f>
        <v xml:space="preserve"> </v>
      </c>
      <c r="I23" s="12" t="str">
        <f>IF(ISBLANK($B23)," ",VLOOKUP($B23,'Liste des aliments'!$C$6:$W$966,5,FALSE))</f>
        <v xml:space="preserve"> </v>
      </c>
      <c r="J23" s="12" t="str">
        <f>IF(ISBLANK($B23)," ",VLOOKUP($B23,'Liste des aliments'!$C$6:$W$966,6,FALSE))</f>
        <v xml:space="preserve"> </v>
      </c>
      <c r="K23" s="14" t="str">
        <f>IF(ISBLANK($B23)," ",VLOOKUP($B23,'Liste des aliments'!$C$6:$W$966,7,FALSE))</f>
        <v xml:space="preserve"> </v>
      </c>
      <c r="L23" s="12" t="str">
        <f>IF(ISBLANK($B23)," ",VLOOKUP($B23,'Liste des aliments'!$C$6:$W$966,9,FALSE))</f>
        <v xml:space="preserve"> </v>
      </c>
      <c r="M23" s="12" t="str">
        <f>IF(ISBLANK($B23)," ",VLOOKUP($B23,'Liste des aliments'!$C$6:$W$966,10,FALSE))</f>
        <v xml:space="preserve"> </v>
      </c>
      <c r="N23" s="12" t="str">
        <f>IF(ISBLANK($B23)," ",VLOOKUP($B23,'Liste des aliments'!$C$6:$W$966,11,FALSE))</f>
        <v xml:space="preserve"> </v>
      </c>
      <c r="O23" s="13" t="str">
        <f>IF(ISBLANK($B23)," ",VLOOKUP($B23,'Liste des aliments'!$C$6:$W$966,12,FALSE))</f>
        <v xml:space="preserve"> </v>
      </c>
      <c r="P23" s="13" t="str">
        <f>IF(ISBLANK($B23)," ",VLOOKUP($B23,'Liste des aliments'!$C$6:$W$966,13,FALSE))</f>
        <v xml:space="preserve"> </v>
      </c>
      <c r="Q23" s="12" t="str">
        <f>IF(ISBLANK($B23)," ",VLOOKUP($B23,'Liste des aliments'!$C$6:$W$966,14,FALSE))</f>
        <v xml:space="preserve"> </v>
      </c>
      <c r="R23" s="12" t="str">
        <f>IF(ISBLANK($B23)," ",VLOOKUP($B23,'Liste des aliments'!$C$6:$W$966,15,FALSE))</f>
        <v xml:space="preserve"> </v>
      </c>
      <c r="S23" s="12" t="str">
        <f>IF(ISBLANK($B23)," ",VLOOKUP($B23,'Liste des aliments'!$C$6:$W$966,16,FALSE))</f>
        <v xml:space="preserve"> </v>
      </c>
      <c r="T23" s="12" t="str">
        <f>IF(ISBLANK($B23)," ",VLOOKUP($B23,'Liste des aliments'!$C$6:$W$966,17,FALSE))</f>
        <v xml:space="preserve"> </v>
      </c>
      <c r="U23" s="12" t="str">
        <f>IF(ISBLANK($B23)," ",VLOOKUP($B23,'Liste des aliments'!$C$6:$W$966,18,FALSE))</f>
        <v xml:space="preserve"> </v>
      </c>
      <c r="V23" s="12" t="str">
        <f>IF(ISBLANK($B23)," ",VLOOKUP($B23,'Liste des aliments'!$C$6:$W$966,20,FALSE))</f>
        <v xml:space="preserve"> </v>
      </c>
      <c r="W23" s="107"/>
      <c r="AC23" s="299" t="s">
        <v>343</v>
      </c>
      <c r="AD23" s="295">
        <v>0</v>
      </c>
      <c r="AE23" s="132"/>
    </row>
    <row r="24" spans="1:31">
      <c r="A24" s="385"/>
      <c r="B24" s="387"/>
      <c r="C24" s="89" t="str">
        <f>IF(ISBLANK(B24),"",INDEX('Liste des aliments'!$B$6:$B$966,MATCH(B24,'Liste des aliments'!$C$6:$C$966,0)))</f>
        <v/>
      </c>
      <c r="D24" s="138"/>
      <c r="E24" s="139"/>
      <c r="F24" s="13" t="str">
        <f>IF(ISBLANK($B24)," ",VLOOKUP($B24,'Liste des aliments'!$C$6:$W$966,'Liste des aliments'!D$1-2,FALSE))</f>
        <v xml:space="preserve"> </v>
      </c>
      <c r="G24" s="14" t="str">
        <f t="shared" si="0"/>
        <v xml:space="preserve"> </v>
      </c>
      <c r="H24" s="12" t="str">
        <f>IF(ISBLANK($B24)," ",VLOOKUP($B24,'Liste des aliments'!$C$6:$W$966,3,FALSE))</f>
        <v xml:space="preserve"> </v>
      </c>
      <c r="I24" s="12" t="str">
        <f>IF(ISBLANK($B24)," ",VLOOKUP($B24,'Liste des aliments'!$C$6:$W$966,5,FALSE))</f>
        <v xml:space="preserve"> </v>
      </c>
      <c r="J24" s="12" t="str">
        <f>IF(ISBLANK($B24)," ",VLOOKUP($B24,'Liste des aliments'!$C$6:$W$966,6,FALSE))</f>
        <v xml:space="preserve"> </v>
      </c>
      <c r="K24" s="14" t="str">
        <f>IF(ISBLANK($B24)," ",VLOOKUP($B24,'Liste des aliments'!$C$6:$W$966,7,FALSE))</f>
        <v xml:space="preserve"> </v>
      </c>
      <c r="L24" s="12" t="str">
        <f>IF(ISBLANK($B24)," ",VLOOKUP($B24,'Liste des aliments'!$C$6:$W$966,9,FALSE))</f>
        <v xml:space="preserve"> </v>
      </c>
      <c r="M24" s="12" t="str">
        <f>IF(ISBLANK($B24)," ",VLOOKUP($B24,'Liste des aliments'!$C$6:$W$966,10,FALSE))</f>
        <v xml:space="preserve"> </v>
      </c>
      <c r="N24" s="12" t="str">
        <f>IF(ISBLANK($B24)," ",VLOOKUP($B24,'Liste des aliments'!$C$6:$W$966,11,FALSE))</f>
        <v xml:space="preserve"> </v>
      </c>
      <c r="O24" s="13" t="str">
        <f>IF(ISBLANK($B24)," ",VLOOKUP($B24,'Liste des aliments'!$C$6:$W$966,12,FALSE))</f>
        <v xml:space="preserve"> </v>
      </c>
      <c r="P24" s="13" t="str">
        <f>IF(ISBLANK($B24)," ",VLOOKUP($B24,'Liste des aliments'!$C$6:$W$966,13,FALSE))</f>
        <v xml:space="preserve"> </v>
      </c>
      <c r="Q24" s="12" t="str">
        <f>IF(ISBLANK($B24)," ",VLOOKUP($B24,'Liste des aliments'!$C$6:$W$966,14,FALSE))</f>
        <v xml:space="preserve"> </v>
      </c>
      <c r="R24" s="12" t="str">
        <f>IF(ISBLANK($B24)," ",VLOOKUP($B24,'Liste des aliments'!$C$6:$W$966,15,FALSE))</f>
        <v xml:space="preserve"> </v>
      </c>
      <c r="S24" s="12" t="str">
        <f>IF(ISBLANK($B24)," ",VLOOKUP($B24,'Liste des aliments'!$C$6:$W$966,16,FALSE))</f>
        <v xml:space="preserve"> </v>
      </c>
      <c r="T24" s="12" t="str">
        <f>IF(ISBLANK($B24)," ",VLOOKUP($B24,'Liste des aliments'!$C$6:$W$966,17,FALSE))</f>
        <v xml:space="preserve"> </v>
      </c>
      <c r="U24" s="12" t="str">
        <f>IF(ISBLANK($B24)," ",VLOOKUP($B24,'Liste des aliments'!$C$6:$W$966,18,FALSE))</f>
        <v xml:space="preserve"> </v>
      </c>
      <c r="V24" s="12" t="str">
        <f>IF(ISBLANK($B24)," ",VLOOKUP($B24,'Liste des aliments'!$C$6:$W$966,20,FALSE))</f>
        <v xml:space="preserve"> </v>
      </c>
      <c r="W24" s="107"/>
      <c r="AC24" s="295" t="s">
        <v>308</v>
      </c>
      <c r="AD24" s="295">
        <v>0</v>
      </c>
    </row>
    <row r="25" spans="1:31">
      <c r="A25" s="385"/>
      <c r="B25" s="387"/>
      <c r="C25" s="89" t="str">
        <f>IF(ISBLANK(B25),"",INDEX('Liste des aliments'!$B$6:$B$966,MATCH(B25,'Liste des aliments'!$C$6:$C$966,0)))</f>
        <v/>
      </c>
      <c r="D25" s="138"/>
      <c r="E25" s="139"/>
      <c r="F25" s="13" t="str">
        <f>IF(ISBLANK($B25)," ",VLOOKUP($B25,'Liste des aliments'!$C$6:$W$966,'Liste des aliments'!D$1-2,FALSE))</f>
        <v xml:space="preserve"> </v>
      </c>
      <c r="G25" s="14" t="str">
        <f t="shared" si="0"/>
        <v xml:space="preserve"> </v>
      </c>
      <c r="H25" s="12" t="str">
        <f>IF(ISBLANK($B25)," ",VLOOKUP($B25,'Liste des aliments'!$C$6:$W$966,3,FALSE))</f>
        <v xml:space="preserve"> </v>
      </c>
      <c r="I25" s="12" t="str">
        <f>IF(ISBLANK($B25)," ",VLOOKUP($B25,'Liste des aliments'!$C$6:$W$966,5,FALSE))</f>
        <v xml:space="preserve"> </v>
      </c>
      <c r="J25" s="12" t="str">
        <f>IF(ISBLANK($B25)," ",VLOOKUP($B25,'Liste des aliments'!$C$6:$W$966,6,FALSE))</f>
        <v xml:space="preserve"> </v>
      </c>
      <c r="K25" s="14" t="str">
        <f>IF(ISBLANK($B25)," ",VLOOKUP($B25,'Liste des aliments'!$C$6:$W$966,7,FALSE))</f>
        <v xml:space="preserve"> </v>
      </c>
      <c r="L25" s="12" t="str">
        <f>IF(ISBLANK($B25)," ",VLOOKUP($B25,'Liste des aliments'!$C$6:$W$966,9,FALSE))</f>
        <v xml:space="preserve"> </v>
      </c>
      <c r="M25" s="12" t="str">
        <f>IF(ISBLANK($B25)," ",VLOOKUP($B25,'Liste des aliments'!$C$6:$W$966,10,FALSE))</f>
        <v xml:space="preserve"> </v>
      </c>
      <c r="N25" s="12" t="str">
        <f>IF(ISBLANK($B25)," ",VLOOKUP($B25,'Liste des aliments'!$C$6:$W$966,11,FALSE))</f>
        <v xml:space="preserve"> </v>
      </c>
      <c r="O25" s="13" t="str">
        <f>IF(ISBLANK($B25)," ",VLOOKUP($B25,'Liste des aliments'!$C$6:$W$966,12,FALSE))</f>
        <v xml:space="preserve"> </v>
      </c>
      <c r="P25" s="13" t="str">
        <f>IF(ISBLANK($B25)," ",VLOOKUP($B25,'Liste des aliments'!$C$6:$W$966,13,FALSE))</f>
        <v xml:space="preserve"> </v>
      </c>
      <c r="Q25" s="12" t="str">
        <f>IF(ISBLANK($B25)," ",VLOOKUP($B25,'Liste des aliments'!$C$6:$W$966,14,FALSE))</f>
        <v xml:space="preserve"> </v>
      </c>
      <c r="R25" s="12" t="str">
        <f>IF(ISBLANK($B25)," ",VLOOKUP($B25,'Liste des aliments'!$C$6:$W$966,15,FALSE))</f>
        <v xml:space="preserve"> </v>
      </c>
      <c r="S25" s="12" t="str">
        <f>IF(ISBLANK($B25)," ",VLOOKUP($B25,'Liste des aliments'!$C$6:$W$966,16,FALSE))</f>
        <v xml:space="preserve"> </v>
      </c>
      <c r="T25" s="12" t="str">
        <f>IF(ISBLANK($B25)," ",VLOOKUP($B25,'Liste des aliments'!$C$6:$W$966,17,FALSE))</f>
        <v xml:space="preserve"> </v>
      </c>
      <c r="U25" s="12" t="str">
        <f>IF(ISBLANK($B25)," ",VLOOKUP($B25,'Liste des aliments'!$C$6:$W$966,18,FALSE))</f>
        <v xml:space="preserve"> </v>
      </c>
      <c r="V25" s="12" t="str">
        <f>IF(ISBLANK($B25)," ",VLOOKUP($B25,'Liste des aliments'!$C$6:$W$966,20,FALSE))</f>
        <v xml:space="preserve"> </v>
      </c>
      <c r="W25" s="107"/>
    </row>
    <row r="26" spans="1:31">
      <c r="A26" s="385"/>
      <c r="B26" s="387"/>
      <c r="C26" s="89" t="str">
        <f>IF(ISBLANK(B26),"",INDEX('Liste des aliments'!$B$6:$B$966,MATCH(B26,'Liste des aliments'!$C$6:$C$966,0)))</f>
        <v/>
      </c>
      <c r="D26" s="138"/>
      <c r="E26" s="139"/>
      <c r="F26" s="13" t="str">
        <f>IF(ISBLANK($B26)," ",VLOOKUP($B26,'Liste des aliments'!$C$6:$W$966,'Liste des aliments'!D$1-2,FALSE))</f>
        <v xml:space="preserve"> </v>
      </c>
      <c r="G26" s="14" t="str">
        <f t="shared" si="0"/>
        <v xml:space="preserve"> </v>
      </c>
      <c r="H26" s="12" t="str">
        <f>IF(ISBLANK($B26)," ",VLOOKUP($B26,'Liste des aliments'!$C$6:$W$966,3,FALSE))</f>
        <v xml:space="preserve"> </v>
      </c>
      <c r="I26" s="12" t="str">
        <f>IF(ISBLANK($B26)," ",VLOOKUP($B26,'Liste des aliments'!$C$6:$W$966,5,FALSE))</f>
        <v xml:space="preserve"> </v>
      </c>
      <c r="J26" s="12" t="str">
        <f>IF(ISBLANK($B26)," ",VLOOKUP($B26,'Liste des aliments'!$C$6:$W$966,6,FALSE))</f>
        <v xml:space="preserve"> </v>
      </c>
      <c r="K26" s="14" t="str">
        <f>IF(ISBLANK($B26)," ",VLOOKUP($B26,'Liste des aliments'!$C$6:$W$966,7,FALSE))</f>
        <v xml:space="preserve"> </v>
      </c>
      <c r="L26" s="12" t="str">
        <f>IF(ISBLANK($B26)," ",VLOOKUP($B26,'Liste des aliments'!$C$6:$W$966,9,FALSE))</f>
        <v xml:space="preserve"> </v>
      </c>
      <c r="M26" s="12" t="str">
        <f>IF(ISBLANK($B26)," ",VLOOKUP($B26,'Liste des aliments'!$C$6:$W$966,10,FALSE))</f>
        <v xml:space="preserve"> </v>
      </c>
      <c r="N26" s="12" t="str">
        <f>IF(ISBLANK($B26)," ",VLOOKUP($B26,'Liste des aliments'!$C$6:$W$966,11,FALSE))</f>
        <v xml:space="preserve"> </v>
      </c>
      <c r="O26" s="13" t="str">
        <f>IF(ISBLANK($B26)," ",VLOOKUP($B26,'Liste des aliments'!$C$6:$W$966,12,FALSE))</f>
        <v xml:space="preserve"> </v>
      </c>
      <c r="P26" s="13" t="str">
        <f>IF(ISBLANK($B26)," ",VLOOKUP($B26,'Liste des aliments'!$C$6:$W$966,13,FALSE))</f>
        <v xml:space="preserve"> </v>
      </c>
      <c r="Q26" s="12" t="str">
        <f>IF(ISBLANK($B26)," ",VLOOKUP($B26,'Liste des aliments'!$C$6:$W$966,14,FALSE))</f>
        <v xml:space="preserve"> </v>
      </c>
      <c r="R26" s="12" t="str">
        <f>IF(ISBLANK($B26)," ",VLOOKUP($B26,'Liste des aliments'!$C$6:$W$966,15,FALSE))</f>
        <v xml:space="preserve"> </v>
      </c>
      <c r="S26" s="12" t="str">
        <f>IF(ISBLANK($B26)," ",VLOOKUP($B26,'Liste des aliments'!$C$6:$W$966,16,FALSE))</f>
        <v xml:space="preserve"> </v>
      </c>
      <c r="T26" s="12" t="str">
        <f>IF(ISBLANK($B26)," ",VLOOKUP($B26,'Liste des aliments'!$C$6:$W$966,17,FALSE))</f>
        <v xml:space="preserve"> </v>
      </c>
      <c r="U26" s="12" t="str">
        <f>IF(ISBLANK($B26)," ",VLOOKUP($B26,'Liste des aliments'!$C$6:$W$966,18,FALSE))</f>
        <v xml:space="preserve"> </v>
      </c>
      <c r="V26" s="12" t="str">
        <f>IF(ISBLANK($B26)," ",VLOOKUP($B26,'Liste des aliments'!$C$6:$W$966,20,FALSE))</f>
        <v xml:space="preserve"> </v>
      </c>
      <c r="W26" s="107"/>
      <c r="AC26" s="295" t="s">
        <v>364</v>
      </c>
      <c r="AD26" s="410">
        <f>VLOOKUP(D9,AC16:AD24,2)</f>
        <v>0</v>
      </c>
    </row>
    <row r="27" spans="1:31">
      <c r="A27" s="385"/>
      <c r="B27" s="387"/>
      <c r="C27" s="89" t="str">
        <f>IF(ISBLANK(B27),"",INDEX('Liste des aliments'!$B$6:$B$966,MATCH(B27,'Liste des aliments'!$C$6:$C$966,0)))</f>
        <v/>
      </c>
      <c r="D27" s="138"/>
      <c r="E27" s="139"/>
      <c r="F27" s="13" t="str">
        <f>IF(ISBLANK($B27)," ",VLOOKUP($B27,'Liste des aliments'!$C$6:$W$966,'Liste des aliments'!D$1-2,FALSE))</f>
        <v xml:space="preserve"> </v>
      </c>
      <c r="G27" s="14" t="str">
        <f t="shared" si="0"/>
        <v xml:space="preserve"> </v>
      </c>
      <c r="H27" s="12" t="str">
        <f>IF(ISBLANK($B27)," ",VLOOKUP($B27,'Liste des aliments'!$C$6:$W$966,3,FALSE))</f>
        <v xml:space="preserve"> </v>
      </c>
      <c r="I27" s="12" t="str">
        <f>IF(ISBLANK($B27)," ",VLOOKUP($B27,'Liste des aliments'!$C$6:$W$966,5,FALSE))</f>
        <v xml:space="preserve"> </v>
      </c>
      <c r="J27" s="12" t="str">
        <f>IF(ISBLANK($B27)," ",VLOOKUP($B27,'Liste des aliments'!$C$6:$W$966,6,FALSE))</f>
        <v xml:space="preserve"> </v>
      </c>
      <c r="K27" s="14" t="str">
        <f>IF(ISBLANK($B27)," ",VLOOKUP($B27,'Liste des aliments'!$C$6:$W$966,7,FALSE))</f>
        <v xml:space="preserve"> </v>
      </c>
      <c r="L27" s="12" t="str">
        <f>IF(ISBLANK($B27)," ",VLOOKUP($B27,'Liste des aliments'!$C$6:$W$966,9,FALSE))</f>
        <v xml:space="preserve"> </v>
      </c>
      <c r="M27" s="12" t="str">
        <f>IF(ISBLANK($B27)," ",VLOOKUP($B27,'Liste des aliments'!$C$6:$W$966,10,FALSE))</f>
        <v xml:space="preserve"> </v>
      </c>
      <c r="N27" s="12" t="str">
        <f>IF(ISBLANK($B27)," ",VLOOKUP($B27,'Liste des aliments'!$C$6:$W$966,11,FALSE))</f>
        <v xml:space="preserve"> </v>
      </c>
      <c r="O27" s="13" t="str">
        <f>IF(ISBLANK($B27)," ",VLOOKUP($B27,'Liste des aliments'!$C$6:$W$966,12,FALSE))</f>
        <v xml:space="preserve"> </v>
      </c>
      <c r="P27" s="13" t="str">
        <f>IF(ISBLANK($B27)," ",VLOOKUP($B27,'Liste des aliments'!$C$6:$W$966,13,FALSE))</f>
        <v xml:space="preserve"> </v>
      </c>
      <c r="Q27" s="12" t="str">
        <f>IF(ISBLANK($B27)," ",VLOOKUP($B27,'Liste des aliments'!$C$6:$W$966,14,FALSE))</f>
        <v xml:space="preserve"> </v>
      </c>
      <c r="R27" s="12" t="str">
        <f>IF(ISBLANK($B27)," ",VLOOKUP($B27,'Liste des aliments'!$C$6:$W$966,15,FALSE))</f>
        <v xml:space="preserve"> </v>
      </c>
      <c r="S27" s="12" t="str">
        <f>IF(ISBLANK($B27)," ",VLOOKUP($B27,'Liste des aliments'!$C$6:$W$966,16,FALSE))</f>
        <v xml:space="preserve"> </v>
      </c>
      <c r="T27" s="12" t="str">
        <f>IF(ISBLANK($B27)," ",VLOOKUP($B27,'Liste des aliments'!$C$6:$W$966,17,FALSE))</f>
        <v xml:space="preserve"> </v>
      </c>
      <c r="U27" s="12" t="str">
        <f>IF(ISBLANK($B27)," ",VLOOKUP($B27,'Liste des aliments'!$C$6:$W$966,18,FALSE))</f>
        <v xml:space="preserve"> </v>
      </c>
      <c r="V27" s="12" t="str">
        <f>IF(ISBLANK($B27)," ",VLOOKUP($B27,'Liste des aliments'!$C$6:$W$966,20,FALSE))</f>
        <v xml:space="preserve"> </v>
      </c>
      <c r="W27" s="107"/>
    </row>
    <row r="28" spans="1:31">
      <c r="A28" s="385"/>
      <c r="B28" s="387"/>
      <c r="C28" s="89" t="str">
        <f>IF(ISBLANK(B28),"",INDEX('Liste des aliments'!$B$6:$B$966,MATCH(B28,'Liste des aliments'!$C$6:$C$966,0)))</f>
        <v/>
      </c>
      <c r="D28" s="138"/>
      <c r="E28" s="139"/>
      <c r="F28" s="13" t="str">
        <f>IF(ISBLANK($B28)," ",VLOOKUP($B28,'Liste des aliments'!$C$6:$W$966,'Liste des aliments'!D$1-2,FALSE))</f>
        <v xml:space="preserve"> </v>
      </c>
      <c r="G28" s="14" t="str">
        <f t="shared" si="0"/>
        <v xml:space="preserve"> </v>
      </c>
      <c r="H28" s="12" t="str">
        <f>IF(ISBLANK($B28)," ",VLOOKUP($B28,'Liste des aliments'!$C$6:$W$966,3,FALSE))</f>
        <v xml:space="preserve"> </v>
      </c>
      <c r="I28" s="12" t="str">
        <f>IF(ISBLANK($B28)," ",VLOOKUP($B28,'Liste des aliments'!$C$6:$W$966,5,FALSE))</f>
        <v xml:space="preserve"> </v>
      </c>
      <c r="J28" s="12" t="str">
        <f>IF(ISBLANK($B28)," ",VLOOKUP($B28,'Liste des aliments'!$C$6:$W$966,6,FALSE))</f>
        <v xml:space="preserve"> </v>
      </c>
      <c r="K28" s="14" t="str">
        <f>IF(ISBLANK($B28)," ",VLOOKUP($B28,'Liste des aliments'!$C$6:$W$966,7,FALSE))</f>
        <v xml:space="preserve"> </v>
      </c>
      <c r="L28" s="12" t="str">
        <f>IF(ISBLANK($B28)," ",VLOOKUP($B28,'Liste des aliments'!$C$6:$W$966,9,FALSE))</f>
        <v xml:space="preserve"> </v>
      </c>
      <c r="M28" s="12" t="str">
        <f>IF(ISBLANK($B28)," ",VLOOKUP($B28,'Liste des aliments'!$C$6:$W$966,10,FALSE))</f>
        <v xml:space="preserve"> </v>
      </c>
      <c r="N28" s="12" t="str">
        <f>IF(ISBLANK($B28)," ",VLOOKUP($B28,'Liste des aliments'!$C$6:$W$966,11,FALSE))</f>
        <v xml:space="preserve"> </v>
      </c>
      <c r="O28" s="13" t="str">
        <f>IF(ISBLANK($B28)," ",VLOOKUP($B28,'Liste des aliments'!$C$6:$W$966,12,FALSE))</f>
        <v xml:space="preserve"> </v>
      </c>
      <c r="P28" s="13" t="str">
        <f>IF(ISBLANK($B28)," ",VLOOKUP($B28,'Liste des aliments'!$C$6:$W$966,13,FALSE))</f>
        <v xml:space="preserve"> </v>
      </c>
      <c r="Q28" s="12" t="str">
        <f>IF(ISBLANK($B28)," ",VLOOKUP($B28,'Liste des aliments'!$C$6:$W$966,14,FALSE))</f>
        <v xml:space="preserve"> </v>
      </c>
      <c r="R28" s="12" t="str">
        <f>IF(ISBLANK($B28)," ",VLOOKUP($B28,'Liste des aliments'!$C$6:$W$966,15,FALSE))</f>
        <v xml:space="preserve"> </v>
      </c>
      <c r="S28" s="12" t="str">
        <f>IF(ISBLANK($B28)," ",VLOOKUP($B28,'Liste des aliments'!$C$6:$W$966,16,FALSE))</f>
        <v xml:space="preserve"> </v>
      </c>
      <c r="T28" s="12" t="str">
        <f>IF(ISBLANK($B28)," ",VLOOKUP($B28,'Liste des aliments'!$C$6:$W$966,17,FALSE))</f>
        <v xml:space="preserve"> </v>
      </c>
      <c r="U28" s="12" t="str">
        <f>IF(ISBLANK($B28)," ",VLOOKUP($B28,'Liste des aliments'!$C$6:$W$966,18,FALSE))</f>
        <v xml:space="preserve"> </v>
      </c>
      <c r="V28" s="12" t="str">
        <f>IF(ISBLANK($B28)," ",VLOOKUP($B28,'Liste des aliments'!$C$6:$W$966,20,FALSE))</f>
        <v xml:space="preserve"> </v>
      </c>
      <c r="W28" s="107"/>
    </row>
    <row r="29" spans="1:31">
      <c r="A29" s="385"/>
      <c r="B29" s="387"/>
      <c r="C29" s="89" t="str">
        <f>IF(ISBLANK(B29),"",INDEX('Liste des aliments'!$B$6:$B$966,MATCH(B29,'Liste des aliments'!$C$6:$C$966,0)))</f>
        <v/>
      </c>
      <c r="D29" s="138"/>
      <c r="E29" s="139"/>
      <c r="F29" s="13" t="str">
        <f>IF(ISBLANK($B29)," ",VLOOKUP($B29,'Liste des aliments'!$C$6:$W$966,'Liste des aliments'!D$1-2,FALSE))</f>
        <v xml:space="preserve"> </v>
      </c>
      <c r="G29" s="14" t="str">
        <f t="shared" si="0"/>
        <v xml:space="preserve"> </v>
      </c>
      <c r="H29" s="12" t="str">
        <f>IF(ISBLANK($B29)," ",VLOOKUP($B29,'Liste des aliments'!$C$6:$W$966,3,FALSE))</f>
        <v xml:space="preserve"> </v>
      </c>
      <c r="I29" s="12" t="str">
        <f>IF(ISBLANK($B29)," ",VLOOKUP($B29,'Liste des aliments'!$C$6:$W$966,5,FALSE))</f>
        <v xml:space="preserve"> </v>
      </c>
      <c r="J29" s="12" t="str">
        <f>IF(ISBLANK($B29)," ",VLOOKUP($B29,'Liste des aliments'!$C$6:$W$966,6,FALSE))</f>
        <v xml:space="preserve"> </v>
      </c>
      <c r="K29" s="14" t="str">
        <f>IF(ISBLANK($B29)," ",VLOOKUP($B29,'Liste des aliments'!$C$6:$W$966,7,FALSE))</f>
        <v xml:space="preserve"> </v>
      </c>
      <c r="L29" s="12" t="str">
        <f>IF(ISBLANK($B29)," ",VLOOKUP($B29,'Liste des aliments'!$C$6:$W$966,9,FALSE))</f>
        <v xml:space="preserve"> </v>
      </c>
      <c r="M29" s="12" t="str">
        <f>IF(ISBLANK($B29)," ",VLOOKUP($B29,'Liste des aliments'!$C$6:$W$966,10,FALSE))</f>
        <v xml:space="preserve"> </v>
      </c>
      <c r="N29" s="12" t="str">
        <f>IF(ISBLANK($B29)," ",VLOOKUP($B29,'Liste des aliments'!$C$6:$W$966,11,FALSE))</f>
        <v xml:space="preserve"> </v>
      </c>
      <c r="O29" s="13" t="str">
        <f>IF(ISBLANK($B29)," ",VLOOKUP($B29,'Liste des aliments'!$C$6:$W$966,12,FALSE))</f>
        <v xml:space="preserve"> </v>
      </c>
      <c r="P29" s="13" t="str">
        <f>IF(ISBLANK($B29)," ",VLOOKUP($B29,'Liste des aliments'!$C$6:$W$966,13,FALSE))</f>
        <v xml:space="preserve"> </v>
      </c>
      <c r="Q29" s="12" t="str">
        <f>IF(ISBLANK($B29)," ",VLOOKUP($B29,'Liste des aliments'!$C$6:$W$966,14,FALSE))</f>
        <v xml:space="preserve"> </v>
      </c>
      <c r="R29" s="12" t="str">
        <f>IF(ISBLANK($B29)," ",VLOOKUP($B29,'Liste des aliments'!$C$6:$W$966,15,FALSE))</f>
        <v xml:space="preserve"> </v>
      </c>
      <c r="S29" s="12" t="str">
        <f>IF(ISBLANK($B29)," ",VLOOKUP($B29,'Liste des aliments'!$C$6:$W$966,16,FALSE))</f>
        <v xml:space="preserve"> </v>
      </c>
      <c r="T29" s="12" t="str">
        <f>IF(ISBLANK($B29)," ",VLOOKUP($B29,'Liste des aliments'!$C$6:$W$966,17,FALSE))</f>
        <v xml:space="preserve"> </v>
      </c>
      <c r="U29" s="12" t="str">
        <f>IF(ISBLANK($B29)," ",VLOOKUP($B29,'Liste des aliments'!$C$6:$W$966,18,FALSE))</f>
        <v xml:space="preserve"> </v>
      </c>
      <c r="V29" s="12" t="str">
        <f>IF(ISBLANK($B29)," ",VLOOKUP($B29,'Liste des aliments'!$C$6:$W$966,20,FALSE))</f>
        <v xml:space="preserve"> </v>
      </c>
      <c r="W29" s="107"/>
    </row>
    <row r="30" spans="1:31">
      <c r="A30" s="385"/>
      <c r="B30" s="387"/>
      <c r="C30" s="89" t="str">
        <f>IF(ISBLANK(B30),"",INDEX('Liste des aliments'!$B$6:$B$966,MATCH(B30,'Liste des aliments'!$C$6:$C$966,0)))</f>
        <v/>
      </c>
      <c r="D30" s="138"/>
      <c r="E30" s="139"/>
      <c r="F30" s="13" t="str">
        <f>IF(ISBLANK($B30)," ",VLOOKUP($B30,'Liste des aliments'!$C$6:$W$966,'Liste des aliments'!D$1-2,FALSE))</f>
        <v xml:space="preserve"> </v>
      </c>
      <c r="G30" s="14" t="str">
        <f t="shared" si="0"/>
        <v xml:space="preserve"> </v>
      </c>
      <c r="H30" s="12" t="str">
        <f>IF(ISBLANK($B30)," ",VLOOKUP($B30,'Liste des aliments'!$C$6:$W$966,3,FALSE))</f>
        <v xml:space="preserve"> </v>
      </c>
      <c r="I30" s="12" t="str">
        <f>IF(ISBLANK($B30)," ",VLOOKUP($B30,'Liste des aliments'!$C$6:$W$966,5,FALSE))</f>
        <v xml:space="preserve"> </v>
      </c>
      <c r="J30" s="12" t="str">
        <f>IF(ISBLANK($B30)," ",VLOOKUP($B30,'Liste des aliments'!$C$6:$W$966,6,FALSE))</f>
        <v xml:space="preserve"> </v>
      </c>
      <c r="K30" s="14" t="str">
        <f>IF(ISBLANK($B30)," ",VLOOKUP($B30,'Liste des aliments'!$C$6:$W$966,7,FALSE))</f>
        <v xml:space="preserve"> </v>
      </c>
      <c r="L30" s="12" t="str">
        <f>IF(ISBLANK($B30)," ",VLOOKUP($B30,'Liste des aliments'!$C$6:$W$966,9,FALSE))</f>
        <v xml:space="preserve"> </v>
      </c>
      <c r="M30" s="12" t="str">
        <f>IF(ISBLANK($B30)," ",VLOOKUP($B30,'Liste des aliments'!$C$6:$W$966,10,FALSE))</f>
        <v xml:space="preserve"> </v>
      </c>
      <c r="N30" s="12" t="str">
        <f>IF(ISBLANK($B30)," ",VLOOKUP($B30,'Liste des aliments'!$C$6:$W$966,11,FALSE))</f>
        <v xml:space="preserve"> </v>
      </c>
      <c r="O30" s="13" t="str">
        <f>IF(ISBLANK($B30)," ",VLOOKUP($B30,'Liste des aliments'!$C$6:$W$966,12,FALSE))</f>
        <v xml:space="preserve"> </v>
      </c>
      <c r="P30" s="13" t="str">
        <f>IF(ISBLANK($B30)," ",VLOOKUP($B30,'Liste des aliments'!$C$6:$W$966,13,FALSE))</f>
        <v xml:space="preserve"> </v>
      </c>
      <c r="Q30" s="12" t="str">
        <f>IF(ISBLANK($B30)," ",VLOOKUP($B30,'Liste des aliments'!$C$6:$W$966,14,FALSE))</f>
        <v xml:space="preserve"> </v>
      </c>
      <c r="R30" s="12" t="str">
        <f>IF(ISBLANK($B30)," ",VLOOKUP($B30,'Liste des aliments'!$C$6:$W$966,15,FALSE))</f>
        <v xml:space="preserve"> </v>
      </c>
      <c r="S30" s="12" t="str">
        <f>IF(ISBLANK($B30)," ",VLOOKUP($B30,'Liste des aliments'!$C$6:$W$966,16,FALSE))</f>
        <v xml:space="preserve"> </v>
      </c>
      <c r="T30" s="12" t="str">
        <f>IF(ISBLANK($B30)," ",VLOOKUP($B30,'Liste des aliments'!$C$6:$W$966,17,FALSE))</f>
        <v xml:space="preserve"> </v>
      </c>
      <c r="U30" s="12" t="str">
        <f>IF(ISBLANK($B30)," ",VLOOKUP($B30,'Liste des aliments'!$C$6:$W$966,18,FALSE))</f>
        <v xml:space="preserve"> </v>
      </c>
      <c r="V30" s="12" t="str">
        <f>IF(ISBLANK($B30)," ",VLOOKUP($B30,'Liste des aliments'!$C$6:$W$966,20,FALSE))</f>
        <v xml:space="preserve"> </v>
      </c>
      <c r="W30" s="107"/>
    </row>
    <row r="31" spans="1:31" ht="14.4" thickBot="1">
      <c r="A31" s="385"/>
      <c r="B31" s="388"/>
      <c r="C31" s="15" t="str">
        <f>IF(ISBLANK(B31),"",INDEX('Liste des aliments'!$B$6:$B$966,MATCH(B31,'Liste des aliments'!$C$6:$C$966,0)))</f>
        <v/>
      </c>
      <c r="D31" s="143"/>
      <c r="E31" s="144"/>
      <c r="F31" s="3" t="str">
        <f>IF(ISBLANK($B31)," ",VLOOKUP($B31,'Liste des aliments'!$C$6:$W$966,'Liste des aliments'!D$1-2,FALSE))</f>
        <v xml:space="preserve"> </v>
      </c>
      <c r="G31" s="10" t="str">
        <f t="shared" si="0"/>
        <v xml:space="preserve"> </v>
      </c>
      <c r="H31" s="4" t="str">
        <f>IF(ISBLANK($B31)," ",VLOOKUP($B31,'Liste des aliments'!$C$6:$W$966,3,FALSE))</f>
        <v xml:space="preserve"> </v>
      </c>
      <c r="I31" s="4" t="str">
        <f>IF(ISBLANK($B31)," ",VLOOKUP($B31,'Liste des aliments'!$C$6:$W$966,5,FALSE))</f>
        <v xml:space="preserve"> </v>
      </c>
      <c r="J31" s="4" t="str">
        <f>IF(ISBLANK($B31)," ",VLOOKUP($B31,'Liste des aliments'!$C$6:$W$966,6,FALSE))</f>
        <v xml:space="preserve"> </v>
      </c>
      <c r="K31" s="10" t="str">
        <f>IF(ISBLANK($B31)," ",VLOOKUP($B31,'Liste des aliments'!$C$6:$W$966,7,FALSE))</f>
        <v xml:space="preserve"> </v>
      </c>
      <c r="L31" s="4" t="str">
        <f>IF(ISBLANK($B31)," ",VLOOKUP($B31,'Liste des aliments'!$C$6:$W$966,9,FALSE))</f>
        <v xml:space="preserve"> </v>
      </c>
      <c r="M31" s="4" t="str">
        <f>IF(ISBLANK($B31)," ",VLOOKUP($B31,'Liste des aliments'!$C$6:$W$966,10,FALSE))</f>
        <v xml:space="preserve"> </v>
      </c>
      <c r="N31" s="4" t="str">
        <f>IF(ISBLANK($B31)," ",VLOOKUP($B31,'Liste des aliments'!$C$6:$W$966,11,FALSE))</f>
        <v xml:space="preserve"> </v>
      </c>
      <c r="O31" s="3" t="str">
        <f>IF(ISBLANK($B31)," ",VLOOKUP($B31,'Liste des aliments'!$C$6:$W$966,12,FALSE))</f>
        <v xml:space="preserve"> </v>
      </c>
      <c r="P31" s="3" t="str">
        <f>IF(ISBLANK($B31)," ",VLOOKUP($B31,'Liste des aliments'!$C$6:$W$966,13,FALSE))</f>
        <v xml:space="preserve"> </v>
      </c>
      <c r="Q31" s="4" t="str">
        <f>IF(ISBLANK($B31)," ",VLOOKUP($B31,'Liste des aliments'!$C$6:$W$966,14,FALSE))</f>
        <v xml:space="preserve"> </v>
      </c>
      <c r="R31" s="4" t="str">
        <f>IF(ISBLANK($B31)," ",VLOOKUP($B31,'Liste des aliments'!$C$6:$W$966,15,FALSE))</f>
        <v xml:space="preserve"> </v>
      </c>
      <c r="S31" s="4" t="str">
        <f>IF(ISBLANK($B31)," ",VLOOKUP($B31,'Liste des aliments'!$C$6:$W$966,16,FALSE))</f>
        <v xml:space="preserve"> </v>
      </c>
      <c r="T31" s="4" t="str">
        <f>IF(ISBLANK($B31)," ",VLOOKUP($B31,'Liste des aliments'!$C$6:$W$966,17,FALSE))</f>
        <v xml:space="preserve"> </v>
      </c>
      <c r="U31" s="4" t="str">
        <f>IF(ISBLANK($B31)," ",VLOOKUP($B31,'Liste des aliments'!$C$6:$W$966,18,FALSE))</f>
        <v xml:space="preserve"> </v>
      </c>
      <c r="V31" s="4" t="str">
        <f>IF(ISBLANK($B31)," ",VLOOKUP($B31,'Liste des aliments'!$C$6:$W$966,20,FALSE))</f>
        <v xml:space="preserve"> </v>
      </c>
      <c r="W31" s="108"/>
    </row>
    <row r="32" spans="1:31">
      <c r="G32" s="109" t="str">
        <f t="shared" ref="G32" si="1">IF($A32&gt;0,(D32*E32/100)," ")</f>
        <v xml:space="preserve"> </v>
      </c>
    </row>
    <row r="33" spans="2:23" ht="16.2" thickBot="1">
      <c r="B33" s="11" t="s">
        <v>195</v>
      </c>
      <c r="C33" s="1"/>
      <c r="D33" s="1"/>
      <c r="E33" s="1"/>
      <c r="F33" s="1"/>
      <c r="G33" s="1"/>
      <c r="H33" s="1"/>
      <c r="I33" s="1"/>
      <c r="J33" s="1"/>
      <c r="K33" s="1"/>
      <c r="L33" s="1"/>
      <c r="M33" s="1"/>
      <c r="N33" s="1"/>
      <c r="O33" s="1"/>
      <c r="P33" s="1"/>
      <c r="Q33" s="1"/>
      <c r="R33" s="776" t="s">
        <v>196</v>
      </c>
      <c r="S33" s="776"/>
      <c r="T33" s="776"/>
      <c r="U33" s="776"/>
      <c r="V33" s="43"/>
      <c r="W33" s="1"/>
    </row>
    <row r="34" spans="2:23" ht="14.4" thickBot="1">
      <c r="B34" s="2"/>
      <c r="C34" s="1"/>
      <c r="D34" s="59" t="s">
        <v>188</v>
      </c>
      <c r="E34" s="60" t="s">
        <v>197</v>
      </c>
      <c r="F34" s="60"/>
      <c r="G34" s="60" t="s">
        <v>191</v>
      </c>
      <c r="H34" s="60" t="s">
        <v>42</v>
      </c>
      <c r="I34" s="60" t="s">
        <v>44</v>
      </c>
      <c r="J34" s="60" t="s">
        <v>45</v>
      </c>
      <c r="K34" s="60" t="s">
        <v>46</v>
      </c>
      <c r="L34" s="60" t="s">
        <v>48</v>
      </c>
      <c r="M34" s="60" t="s">
        <v>49</v>
      </c>
      <c r="N34" s="60" t="s">
        <v>50</v>
      </c>
      <c r="O34" s="60" t="s">
        <v>51</v>
      </c>
      <c r="P34" s="60" t="s">
        <v>52</v>
      </c>
      <c r="Q34" s="60" t="s">
        <v>192</v>
      </c>
      <c r="R34" s="61" t="s">
        <v>54</v>
      </c>
      <c r="S34" s="61" t="s">
        <v>198</v>
      </c>
      <c r="T34" s="61" t="s">
        <v>56</v>
      </c>
      <c r="U34" s="61" t="s">
        <v>57</v>
      </c>
      <c r="V34" s="61" t="s">
        <v>59</v>
      </c>
      <c r="W34" s="62" t="s">
        <v>194</v>
      </c>
    </row>
    <row r="35" spans="2:23" ht="18" customHeight="1">
      <c r="B35" s="93" t="s">
        <v>199</v>
      </c>
      <c r="C35" s="94"/>
      <c r="D35" s="63">
        <f>SUM(D16:D31)</f>
        <v>0</v>
      </c>
      <c r="E35" s="248" t="e">
        <f>G35/D35*100</f>
        <v>#DIV/0!</v>
      </c>
      <c r="F35" s="16"/>
      <c r="G35" s="56">
        <f>SUM(G16:G31)</f>
        <v>0</v>
      </c>
      <c r="H35" s="57">
        <f>H71</f>
        <v>0</v>
      </c>
      <c r="I35" s="57">
        <f>I71</f>
        <v>0</v>
      </c>
      <c r="J35" s="57">
        <f t="shared" ref="J35:W35" si="2">J71</f>
        <v>0</v>
      </c>
      <c r="K35" s="56">
        <f t="shared" si="2"/>
        <v>0</v>
      </c>
      <c r="L35" s="57">
        <f t="shared" si="2"/>
        <v>0</v>
      </c>
      <c r="M35" s="57">
        <f t="shared" si="2"/>
        <v>0</v>
      </c>
      <c r="N35" s="57">
        <f t="shared" si="2"/>
        <v>0</v>
      </c>
      <c r="O35" s="57">
        <f t="shared" si="2"/>
        <v>0</v>
      </c>
      <c r="P35" s="57">
        <f t="shared" si="2"/>
        <v>0</v>
      </c>
      <c r="Q35" s="57">
        <f t="shared" si="2"/>
        <v>0</v>
      </c>
      <c r="R35" s="76">
        <f t="shared" si="2"/>
        <v>0</v>
      </c>
      <c r="S35" s="76">
        <f t="shared" si="2"/>
        <v>0</v>
      </c>
      <c r="T35" s="76">
        <f t="shared" si="2"/>
        <v>0</v>
      </c>
      <c r="U35" s="76">
        <f t="shared" si="2"/>
        <v>0</v>
      </c>
      <c r="V35" s="76">
        <f t="shared" si="2"/>
        <v>0</v>
      </c>
      <c r="W35" s="249">
        <f t="shared" si="2"/>
        <v>0</v>
      </c>
    </row>
    <row r="36" spans="2:23" ht="18" customHeight="1">
      <c r="B36" s="95" t="s">
        <v>200</v>
      </c>
      <c r="C36" s="96"/>
      <c r="D36" s="44"/>
      <c r="E36" s="44"/>
      <c r="F36" s="44"/>
      <c r="G36" s="56">
        <v>1</v>
      </c>
      <c r="H36" s="57" t="e">
        <f t="shared" ref="H36:W36" si="3">H35/$G$35</f>
        <v>#DIV/0!</v>
      </c>
      <c r="I36" s="57" t="e">
        <f t="shared" si="3"/>
        <v>#DIV/0!</v>
      </c>
      <c r="J36" s="57" t="e">
        <f t="shared" si="3"/>
        <v>#DIV/0!</v>
      </c>
      <c r="K36" s="58" t="e">
        <f t="shared" si="3"/>
        <v>#DIV/0!</v>
      </c>
      <c r="L36" s="57" t="e">
        <f t="shared" si="3"/>
        <v>#DIV/0!</v>
      </c>
      <c r="M36" s="57" t="e">
        <f t="shared" si="3"/>
        <v>#DIV/0!</v>
      </c>
      <c r="N36" s="57" t="e">
        <f t="shared" si="3"/>
        <v>#DIV/0!</v>
      </c>
      <c r="O36" s="56" t="e">
        <f t="shared" si="3"/>
        <v>#DIV/0!</v>
      </c>
      <c r="P36" s="56" t="e">
        <f t="shared" si="3"/>
        <v>#DIV/0!</v>
      </c>
      <c r="Q36" s="57" t="e">
        <f t="shared" si="3"/>
        <v>#DIV/0!</v>
      </c>
      <c r="R36" s="75" t="e">
        <f t="shared" si="3"/>
        <v>#DIV/0!</v>
      </c>
      <c r="S36" s="75" t="e">
        <f t="shared" si="3"/>
        <v>#DIV/0!</v>
      </c>
      <c r="T36" s="75" t="e">
        <f t="shared" si="3"/>
        <v>#DIV/0!</v>
      </c>
      <c r="U36" s="75" t="e">
        <f t="shared" si="3"/>
        <v>#DIV/0!</v>
      </c>
      <c r="V36" s="75" t="e">
        <f t="shared" si="3"/>
        <v>#DIV/0!</v>
      </c>
      <c r="W36" s="404" t="e">
        <f t="shared" si="3"/>
        <v>#DIV/0!</v>
      </c>
    </row>
    <row r="37" spans="2:23" ht="18" customHeight="1" thickBot="1">
      <c r="B37" s="97" t="s">
        <v>260</v>
      </c>
      <c r="C37" s="98"/>
      <c r="D37" s="17"/>
      <c r="E37" s="17"/>
      <c r="F37" s="17"/>
      <c r="G37" s="405">
        <f>G35/H10</f>
        <v>0</v>
      </c>
      <c r="H37" s="406"/>
      <c r="I37" s="406"/>
      <c r="J37" s="406"/>
      <c r="K37" s="405">
        <f>K35/I10</f>
        <v>0</v>
      </c>
      <c r="L37" s="405">
        <f>L35/J10</f>
        <v>0</v>
      </c>
      <c r="M37" s="405">
        <f>M35/K10</f>
        <v>0</v>
      </c>
      <c r="N37" s="406"/>
      <c r="O37" s="405">
        <f>O35/M10</f>
        <v>0</v>
      </c>
      <c r="P37" s="405">
        <f>P35/N10</f>
        <v>0</v>
      </c>
      <c r="Q37" s="17"/>
      <c r="R37" s="407"/>
      <c r="S37" s="407"/>
      <c r="T37" s="407"/>
      <c r="U37" s="407"/>
      <c r="V37" s="407"/>
      <c r="W37" s="408"/>
    </row>
    <row r="38" spans="2:23">
      <c r="N38" s="150"/>
      <c r="O38" s="150"/>
      <c r="Q38" s="148"/>
      <c r="R38" s="149"/>
      <c r="S38" s="149"/>
      <c r="T38" s="149"/>
      <c r="U38" s="149"/>
      <c r="V38" s="149"/>
    </row>
    <row r="39" spans="2:23">
      <c r="B39" s="774" t="s">
        <v>205</v>
      </c>
      <c r="C39" s="774"/>
      <c r="Q39" s="151" t="s">
        <v>203</v>
      </c>
      <c r="R39" s="152">
        <v>0</v>
      </c>
      <c r="S39" s="152">
        <v>180</v>
      </c>
      <c r="T39" s="152">
        <v>350</v>
      </c>
      <c r="U39" s="153">
        <v>210</v>
      </c>
      <c r="V39" s="154"/>
    </row>
    <row r="40" spans="2:23">
      <c r="B40" s="274" t="s">
        <v>206</v>
      </c>
      <c r="C40" s="275"/>
      <c r="K40" s="303"/>
      <c r="Q40" s="157" t="s">
        <v>204</v>
      </c>
      <c r="R40" s="158">
        <v>200</v>
      </c>
      <c r="S40" s="158"/>
      <c r="T40" s="158"/>
      <c r="U40" s="159"/>
      <c r="V40" s="160">
        <v>40</v>
      </c>
    </row>
    <row r="41" spans="2:23">
      <c r="B41" s="274" t="s">
        <v>207</v>
      </c>
      <c r="C41" s="276"/>
    </row>
    <row r="42" spans="2:23">
      <c r="B42" s="274" t="s">
        <v>208</v>
      </c>
      <c r="C42" s="277"/>
    </row>
    <row r="43" spans="2:23">
      <c r="R43" s="145"/>
      <c r="S43" s="147"/>
    </row>
    <row r="44" spans="2:23">
      <c r="S44" s="147"/>
    </row>
    <row r="49" spans="1:23" s="295" customFormat="1" ht="15.6">
      <c r="A49" s="537" t="s">
        <v>210</v>
      </c>
      <c r="B49" s="538"/>
      <c r="C49" s="538"/>
      <c r="D49" s="539" t="s">
        <v>169</v>
      </c>
      <c r="E49" s="539" t="s">
        <v>42</v>
      </c>
      <c r="F49" s="539" t="s">
        <v>44</v>
      </c>
      <c r="G49" s="539" t="s">
        <v>171</v>
      </c>
      <c r="H49" s="539" t="s">
        <v>51</v>
      </c>
      <c r="I49" s="539" t="s">
        <v>211</v>
      </c>
      <c r="J49" s="539" t="s">
        <v>46</v>
      </c>
      <c r="K49" s="539" t="s">
        <v>48</v>
      </c>
      <c r="L49" s="539" t="s">
        <v>49</v>
      </c>
    </row>
    <row r="50" spans="1:23" s="295" customFormat="1">
      <c r="A50" s="530"/>
      <c r="B50" s="530" t="s">
        <v>214</v>
      </c>
      <c r="C50" s="530"/>
      <c r="D50" s="527">
        <f>G35/H10</f>
        <v>0</v>
      </c>
      <c r="E50" s="527"/>
      <c r="F50" s="527"/>
      <c r="G50" s="527"/>
      <c r="H50" s="527">
        <f>O35/M10</f>
        <v>0</v>
      </c>
      <c r="I50" s="527">
        <f>P35/N10</f>
        <v>0</v>
      </c>
      <c r="J50" s="527">
        <f>K35/I10</f>
        <v>0</v>
      </c>
      <c r="K50" s="527">
        <f>L35/J10</f>
        <v>0</v>
      </c>
      <c r="L50" s="527">
        <f>M35/K10</f>
        <v>0</v>
      </c>
      <c r="M50" s="411"/>
      <c r="N50" s="411"/>
      <c r="O50" s="411"/>
      <c r="P50" s="411"/>
      <c r="Q50" s="411"/>
      <c r="R50" s="411"/>
      <c r="S50" s="411"/>
      <c r="T50" s="411"/>
      <c r="U50" s="411"/>
      <c r="V50" s="411"/>
    </row>
    <row r="51" spans="1:23" s="295" customFormat="1">
      <c r="A51" s="530"/>
      <c r="B51" s="530" t="s">
        <v>262</v>
      </c>
      <c r="C51" s="530"/>
      <c r="D51" s="530"/>
      <c r="E51" s="532">
        <f>H37</f>
        <v>0</v>
      </c>
      <c r="F51" s="532">
        <f>I37</f>
        <v>0</v>
      </c>
      <c r="G51" s="532"/>
      <c r="H51" s="532">
        <f>O37</f>
        <v>0</v>
      </c>
      <c r="I51" s="532">
        <f>P37</f>
        <v>0</v>
      </c>
      <c r="J51" s="532">
        <f>K37</f>
        <v>0</v>
      </c>
      <c r="K51" s="532">
        <f>L37</f>
        <v>0</v>
      </c>
      <c r="L51" s="532">
        <f>M37</f>
        <v>0</v>
      </c>
      <c r="M51" s="411"/>
      <c r="N51" s="411"/>
      <c r="O51" s="411"/>
      <c r="P51" s="411"/>
      <c r="Q51" s="411"/>
      <c r="R51" s="411"/>
      <c r="S51" s="411"/>
      <c r="T51" s="411"/>
      <c r="U51" s="411"/>
      <c r="V51" s="411"/>
    </row>
    <row r="52" spans="1:23" s="295" customFormat="1">
      <c r="A52" s="530"/>
      <c r="B52" s="530" t="s">
        <v>219</v>
      </c>
      <c r="C52" s="530"/>
      <c r="D52" s="530"/>
      <c r="E52" s="533">
        <v>0.3</v>
      </c>
      <c r="F52" s="533">
        <v>0.3</v>
      </c>
      <c r="G52" s="533">
        <v>0.3</v>
      </c>
      <c r="H52" s="533">
        <v>0.3</v>
      </c>
      <c r="I52" s="533">
        <v>0.3</v>
      </c>
      <c r="J52" s="533">
        <v>0.3</v>
      </c>
      <c r="K52" s="533">
        <v>0.3</v>
      </c>
      <c r="L52" s="533">
        <v>0.3</v>
      </c>
      <c r="M52" s="411"/>
      <c r="N52" s="411"/>
      <c r="O52" s="411"/>
      <c r="P52" s="411"/>
      <c r="Q52" s="411"/>
      <c r="R52" s="411"/>
      <c r="S52" s="411"/>
      <c r="T52" s="411"/>
      <c r="U52" s="411"/>
      <c r="V52" s="411"/>
    </row>
    <row r="53" spans="1:23" s="295" customFormat="1">
      <c r="A53" s="411"/>
      <c r="B53" s="411"/>
      <c r="C53" s="411"/>
      <c r="D53" s="411"/>
      <c r="E53" s="460">
        <v>1</v>
      </c>
      <c r="F53" s="460">
        <v>1</v>
      </c>
      <c r="G53" s="460">
        <v>1</v>
      </c>
      <c r="H53" s="460">
        <v>1</v>
      </c>
      <c r="I53" s="460">
        <v>1</v>
      </c>
      <c r="J53" s="460">
        <v>1</v>
      </c>
      <c r="K53" s="460">
        <v>1</v>
      </c>
      <c r="L53" s="460">
        <v>1</v>
      </c>
      <c r="M53" s="411"/>
      <c r="N53" s="411"/>
      <c r="O53" s="411"/>
      <c r="P53" s="411"/>
      <c r="Q53" s="411"/>
      <c r="R53" s="411"/>
      <c r="S53" s="411"/>
      <c r="T53" s="411"/>
      <c r="U53" s="411"/>
      <c r="V53" s="411"/>
    </row>
    <row r="54" spans="1:23" s="295" customFormat="1" ht="26.4">
      <c r="A54" s="461"/>
      <c r="B54" s="461" t="s">
        <v>40</v>
      </c>
      <c r="C54" s="462" t="s">
        <v>187</v>
      </c>
      <c r="D54" s="462" t="s">
        <v>188</v>
      </c>
      <c r="E54" s="462" t="s">
        <v>220</v>
      </c>
      <c r="F54" s="462" t="s">
        <v>190</v>
      </c>
      <c r="G54" s="462" t="s">
        <v>191</v>
      </c>
      <c r="H54" s="462" t="s">
        <v>42</v>
      </c>
      <c r="I54" s="462" t="s">
        <v>44</v>
      </c>
      <c r="J54" s="462" t="s">
        <v>45</v>
      </c>
      <c r="K54" s="462" t="s">
        <v>46</v>
      </c>
      <c r="L54" s="462" t="s">
        <v>48</v>
      </c>
      <c r="M54" s="462" t="s">
        <v>49</v>
      </c>
      <c r="N54" s="462" t="s">
        <v>50</v>
      </c>
      <c r="O54" s="462" t="s">
        <v>51</v>
      </c>
      <c r="P54" s="462" t="s">
        <v>52</v>
      </c>
      <c r="Q54" s="462" t="s">
        <v>53</v>
      </c>
      <c r="R54" s="462" t="s">
        <v>54</v>
      </c>
      <c r="S54" s="462" t="s">
        <v>193</v>
      </c>
      <c r="T54" s="462" t="s">
        <v>56</v>
      </c>
      <c r="U54" s="462" t="s">
        <v>57</v>
      </c>
      <c r="V54" s="462" t="s">
        <v>59</v>
      </c>
      <c r="W54" s="310" t="s">
        <v>221</v>
      </c>
    </row>
    <row r="55" spans="1:23" s="295" customFormat="1">
      <c r="A55" s="463"/>
      <c r="B55" s="463">
        <f t="shared" ref="B55:G64" si="4">B16</f>
        <v>0</v>
      </c>
      <c r="C55" s="464" t="str">
        <f t="shared" si="4"/>
        <v/>
      </c>
      <c r="D55" s="464">
        <f t="shared" si="4"/>
        <v>0</v>
      </c>
      <c r="E55" s="464">
        <f t="shared" si="4"/>
        <v>0</v>
      </c>
      <c r="F55" s="465" t="str">
        <f t="shared" si="4"/>
        <v xml:space="preserve"> </v>
      </c>
      <c r="G55" s="466" t="str">
        <f t="shared" si="4"/>
        <v xml:space="preserve"> </v>
      </c>
      <c r="H55" s="467" t="str">
        <f t="shared" ref="H55:W55" si="5">IF($B55&gt;0,(IF($C55="F",H16*$G16,(H16/($F16/100))*$G16))," ")</f>
        <v xml:space="preserve"> </v>
      </c>
      <c r="I55" s="467" t="str">
        <f t="shared" si="5"/>
        <v xml:space="preserve"> </v>
      </c>
      <c r="J55" s="467" t="str">
        <f t="shared" si="5"/>
        <v xml:space="preserve"> </v>
      </c>
      <c r="K55" s="466" t="str">
        <f t="shared" si="5"/>
        <v xml:space="preserve"> </v>
      </c>
      <c r="L55" s="467" t="str">
        <f t="shared" si="5"/>
        <v xml:space="preserve"> </v>
      </c>
      <c r="M55" s="467" t="str">
        <f t="shared" si="5"/>
        <v xml:space="preserve"> </v>
      </c>
      <c r="N55" s="467" t="str">
        <f t="shared" si="5"/>
        <v xml:space="preserve"> </v>
      </c>
      <c r="O55" s="467" t="str">
        <f t="shared" si="5"/>
        <v xml:space="preserve"> </v>
      </c>
      <c r="P55" s="467" t="str">
        <f t="shared" si="5"/>
        <v xml:space="preserve"> </v>
      </c>
      <c r="Q55" s="467" t="str">
        <f t="shared" si="5"/>
        <v xml:space="preserve"> </v>
      </c>
      <c r="R55" s="467" t="str">
        <f t="shared" si="5"/>
        <v xml:space="preserve"> </v>
      </c>
      <c r="S55" s="467" t="str">
        <f t="shared" si="5"/>
        <v xml:space="preserve"> </v>
      </c>
      <c r="T55" s="467" t="str">
        <f t="shared" si="5"/>
        <v xml:space="preserve"> </v>
      </c>
      <c r="U55" s="467" t="str">
        <f t="shared" si="5"/>
        <v xml:space="preserve"> </v>
      </c>
      <c r="V55" s="467" t="str">
        <f t="shared" si="5"/>
        <v xml:space="preserve"> </v>
      </c>
      <c r="W55" s="467" t="str">
        <f t="shared" si="5"/>
        <v xml:space="preserve"> </v>
      </c>
    </row>
    <row r="56" spans="1:23" s="295" customFormat="1">
      <c r="A56" s="463"/>
      <c r="B56" s="463">
        <f t="shared" si="4"/>
        <v>0</v>
      </c>
      <c r="C56" s="464" t="str">
        <f t="shared" si="4"/>
        <v/>
      </c>
      <c r="D56" s="464">
        <f t="shared" si="4"/>
        <v>0</v>
      </c>
      <c r="E56" s="464">
        <f t="shared" si="4"/>
        <v>0</v>
      </c>
      <c r="F56" s="465" t="str">
        <f t="shared" si="4"/>
        <v xml:space="preserve"> </v>
      </c>
      <c r="G56" s="466" t="str">
        <f t="shared" si="4"/>
        <v xml:space="preserve"> </v>
      </c>
      <c r="H56" s="467" t="str">
        <f t="shared" ref="H56:W56" si="6">IF($B56&gt;0,(IF($C56="F",H17*$G17,(H17/($F17/100))*$G17))," ")</f>
        <v xml:space="preserve"> </v>
      </c>
      <c r="I56" s="467" t="str">
        <f t="shared" si="6"/>
        <v xml:space="preserve"> </v>
      </c>
      <c r="J56" s="467" t="str">
        <f t="shared" si="6"/>
        <v xml:space="preserve"> </v>
      </c>
      <c r="K56" s="466" t="str">
        <f t="shared" si="6"/>
        <v xml:space="preserve"> </v>
      </c>
      <c r="L56" s="467" t="str">
        <f t="shared" si="6"/>
        <v xml:space="preserve"> </v>
      </c>
      <c r="M56" s="467" t="str">
        <f t="shared" si="6"/>
        <v xml:space="preserve"> </v>
      </c>
      <c r="N56" s="467" t="str">
        <f t="shared" si="6"/>
        <v xml:space="preserve"> </v>
      </c>
      <c r="O56" s="467" t="str">
        <f t="shared" si="6"/>
        <v xml:space="preserve"> </v>
      </c>
      <c r="P56" s="467" t="str">
        <f t="shared" si="6"/>
        <v xml:space="preserve"> </v>
      </c>
      <c r="Q56" s="467" t="str">
        <f t="shared" si="6"/>
        <v xml:space="preserve"> </v>
      </c>
      <c r="R56" s="467" t="str">
        <f t="shared" si="6"/>
        <v xml:space="preserve"> </v>
      </c>
      <c r="S56" s="467" t="str">
        <f t="shared" si="6"/>
        <v xml:space="preserve"> </v>
      </c>
      <c r="T56" s="467" t="str">
        <f t="shared" si="6"/>
        <v xml:space="preserve"> </v>
      </c>
      <c r="U56" s="467" t="str">
        <f t="shared" si="6"/>
        <v xml:space="preserve"> </v>
      </c>
      <c r="V56" s="467" t="str">
        <f t="shared" si="6"/>
        <v xml:space="preserve"> </v>
      </c>
      <c r="W56" s="467" t="str">
        <f t="shared" si="6"/>
        <v xml:space="preserve"> </v>
      </c>
    </row>
    <row r="57" spans="1:23" s="295" customFormat="1">
      <c r="A57" s="463"/>
      <c r="B57" s="463">
        <f t="shared" si="4"/>
        <v>0</v>
      </c>
      <c r="C57" s="464" t="str">
        <f t="shared" si="4"/>
        <v/>
      </c>
      <c r="D57" s="464">
        <f t="shared" si="4"/>
        <v>0</v>
      </c>
      <c r="E57" s="464">
        <f t="shared" si="4"/>
        <v>0</v>
      </c>
      <c r="F57" s="465" t="str">
        <f t="shared" si="4"/>
        <v xml:space="preserve"> </v>
      </c>
      <c r="G57" s="466" t="str">
        <f t="shared" si="4"/>
        <v xml:space="preserve"> </v>
      </c>
      <c r="H57" s="467" t="str">
        <f t="shared" ref="H57:W57" si="7">IF($B57&gt;0,(IF($C57="F",H18*$G18,(H18/($F18/100))*$G18))," ")</f>
        <v xml:space="preserve"> </v>
      </c>
      <c r="I57" s="467" t="str">
        <f t="shared" si="7"/>
        <v xml:space="preserve"> </v>
      </c>
      <c r="J57" s="467" t="str">
        <f t="shared" si="7"/>
        <v xml:space="preserve"> </v>
      </c>
      <c r="K57" s="466" t="str">
        <f t="shared" si="7"/>
        <v xml:space="preserve"> </v>
      </c>
      <c r="L57" s="467" t="str">
        <f t="shared" si="7"/>
        <v xml:space="preserve"> </v>
      </c>
      <c r="M57" s="467" t="str">
        <f t="shared" si="7"/>
        <v xml:space="preserve"> </v>
      </c>
      <c r="N57" s="467" t="str">
        <f t="shared" si="7"/>
        <v xml:space="preserve"> </v>
      </c>
      <c r="O57" s="467" t="str">
        <f t="shared" si="7"/>
        <v xml:space="preserve"> </v>
      </c>
      <c r="P57" s="467" t="str">
        <f t="shared" si="7"/>
        <v xml:space="preserve"> </v>
      </c>
      <c r="Q57" s="467" t="str">
        <f t="shared" si="7"/>
        <v xml:space="preserve"> </v>
      </c>
      <c r="R57" s="467" t="str">
        <f t="shared" si="7"/>
        <v xml:space="preserve"> </v>
      </c>
      <c r="S57" s="467" t="str">
        <f t="shared" si="7"/>
        <v xml:space="preserve"> </v>
      </c>
      <c r="T57" s="467" t="str">
        <f t="shared" si="7"/>
        <v xml:space="preserve"> </v>
      </c>
      <c r="U57" s="467" t="str">
        <f t="shared" si="7"/>
        <v xml:space="preserve"> </v>
      </c>
      <c r="V57" s="467" t="str">
        <f t="shared" si="7"/>
        <v xml:space="preserve"> </v>
      </c>
      <c r="W57" s="467" t="str">
        <f t="shared" si="7"/>
        <v xml:space="preserve"> </v>
      </c>
    </row>
    <row r="58" spans="1:23" s="295" customFormat="1">
      <c r="A58" s="463"/>
      <c r="B58" s="463">
        <f t="shared" si="4"/>
        <v>0</v>
      </c>
      <c r="C58" s="464" t="str">
        <f t="shared" si="4"/>
        <v/>
      </c>
      <c r="D58" s="464">
        <f t="shared" si="4"/>
        <v>0</v>
      </c>
      <c r="E58" s="464">
        <f t="shared" si="4"/>
        <v>0</v>
      </c>
      <c r="F58" s="465" t="str">
        <f t="shared" si="4"/>
        <v xml:space="preserve"> </v>
      </c>
      <c r="G58" s="466" t="str">
        <f t="shared" si="4"/>
        <v xml:space="preserve"> </v>
      </c>
      <c r="H58" s="467" t="str">
        <f t="shared" ref="H58:W58" si="8">IF($B58&gt;0,(IF($C58="F",H19*$G19,(H19/($F19/100))*$G19))," ")</f>
        <v xml:space="preserve"> </v>
      </c>
      <c r="I58" s="467" t="str">
        <f t="shared" si="8"/>
        <v xml:space="preserve"> </v>
      </c>
      <c r="J58" s="467" t="str">
        <f t="shared" si="8"/>
        <v xml:space="preserve"> </v>
      </c>
      <c r="K58" s="466" t="str">
        <f t="shared" si="8"/>
        <v xml:space="preserve"> </v>
      </c>
      <c r="L58" s="467" t="str">
        <f t="shared" si="8"/>
        <v xml:space="preserve"> </v>
      </c>
      <c r="M58" s="467" t="str">
        <f t="shared" si="8"/>
        <v xml:space="preserve"> </v>
      </c>
      <c r="N58" s="467" t="str">
        <f t="shared" si="8"/>
        <v xml:space="preserve"> </v>
      </c>
      <c r="O58" s="467" t="str">
        <f t="shared" si="8"/>
        <v xml:space="preserve"> </v>
      </c>
      <c r="P58" s="467" t="str">
        <f t="shared" si="8"/>
        <v xml:space="preserve"> </v>
      </c>
      <c r="Q58" s="467" t="str">
        <f t="shared" si="8"/>
        <v xml:space="preserve"> </v>
      </c>
      <c r="R58" s="467" t="str">
        <f t="shared" si="8"/>
        <v xml:space="preserve"> </v>
      </c>
      <c r="S58" s="467" t="str">
        <f t="shared" si="8"/>
        <v xml:space="preserve"> </v>
      </c>
      <c r="T58" s="467" t="str">
        <f t="shared" si="8"/>
        <v xml:space="preserve"> </v>
      </c>
      <c r="U58" s="467" t="str">
        <f t="shared" si="8"/>
        <v xml:space="preserve"> </v>
      </c>
      <c r="V58" s="467" t="str">
        <f t="shared" si="8"/>
        <v xml:space="preserve"> </v>
      </c>
      <c r="W58" s="467" t="str">
        <f t="shared" si="8"/>
        <v xml:space="preserve"> </v>
      </c>
    </row>
    <row r="59" spans="1:23" s="295" customFormat="1">
      <c r="A59" s="463"/>
      <c r="B59" s="463">
        <f t="shared" si="4"/>
        <v>0</v>
      </c>
      <c r="C59" s="464" t="str">
        <f t="shared" si="4"/>
        <v/>
      </c>
      <c r="D59" s="464">
        <f t="shared" si="4"/>
        <v>0</v>
      </c>
      <c r="E59" s="464">
        <f t="shared" si="4"/>
        <v>0</v>
      </c>
      <c r="F59" s="465" t="str">
        <f t="shared" si="4"/>
        <v xml:space="preserve"> </v>
      </c>
      <c r="G59" s="466" t="str">
        <f t="shared" si="4"/>
        <v xml:space="preserve"> </v>
      </c>
      <c r="H59" s="467" t="str">
        <f t="shared" ref="H59:W59" si="9">IF($B59&gt;0,(IF($C59="F",H20*$G20,(H20/($F20/100))*$G20))," ")</f>
        <v xml:space="preserve"> </v>
      </c>
      <c r="I59" s="467" t="str">
        <f t="shared" si="9"/>
        <v xml:space="preserve"> </v>
      </c>
      <c r="J59" s="467" t="str">
        <f t="shared" si="9"/>
        <v xml:space="preserve"> </v>
      </c>
      <c r="K59" s="466" t="str">
        <f t="shared" si="9"/>
        <v xml:space="preserve"> </v>
      </c>
      <c r="L59" s="467" t="str">
        <f t="shared" si="9"/>
        <v xml:space="preserve"> </v>
      </c>
      <c r="M59" s="467" t="str">
        <f t="shared" si="9"/>
        <v xml:space="preserve"> </v>
      </c>
      <c r="N59" s="467" t="str">
        <f t="shared" si="9"/>
        <v xml:space="preserve"> </v>
      </c>
      <c r="O59" s="467" t="str">
        <f t="shared" si="9"/>
        <v xml:space="preserve"> </v>
      </c>
      <c r="P59" s="467" t="str">
        <f t="shared" si="9"/>
        <v xml:space="preserve"> </v>
      </c>
      <c r="Q59" s="467" t="str">
        <f t="shared" si="9"/>
        <v xml:space="preserve"> </v>
      </c>
      <c r="R59" s="467" t="str">
        <f t="shared" si="9"/>
        <v xml:space="preserve"> </v>
      </c>
      <c r="S59" s="467" t="str">
        <f t="shared" si="9"/>
        <v xml:space="preserve"> </v>
      </c>
      <c r="T59" s="467" t="str">
        <f t="shared" si="9"/>
        <v xml:space="preserve"> </v>
      </c>
      <c r="U59" s="467" t="str">
        <f t="shared" si="9"/>
        <v xml:space="preserve"> </v>
      </c>
      <c r="V59" s="467" t="str">
        <f t="shared" si="9"/>
        <v xml:space="preserve"> </v>
      </c>
      <c r="W59" s="467" t="str">
        <f t="shared" si="9"/>
        <v xml:space="preserve"> </v>
      </c>
    </row>
    <row r="60" spans="1:23" s="295" customFormat="1">
      <c r="A60" s="463"/>
      <c r="B60" s="463">
        <f t="shared" si="4"/>
        <v>0</v>
      </c>
      <c r="C60" s="464" t="str">
        <f t="shared" si="4"/>
        <v/>
      </c>
      <c r="D60" s="464">
        <f t="shared" si="4"/>
        <v>0</v>
      </c>
      <c r="E60" s="464">
        <f t="shared" si="4"/>
        <v>0</v>
      </c>
      <c r="F60" s="465" t="str">
        <f t="shared" si="4"/>
        <v xml:space="preserve"> </v>
      </c>
      <c r="G60" s="466" t="str">
        <f t="shared" si="4"/>
        <v xml:space="preserve"> </v>
      </c>
      <c r="H60" s="467" t="str">
        <f t="shared" ref="H60:W60" si="10">IF($B60&gt;0,(IF($C60="F",H21*$G21,(H21/($F21/100))*$G21))," ")</f>
        <v xml:space="preserve"> </v>
      </c>
      <c r="I60" s="467" t="str">
        <f t="shared" si="10"/>
        <v xml:space="preserve"> </v>
      </c>
      <c r="J60" s="467" t="str">
        <f t="shared" si="10"/>
        <v xml:space="preserve"> </v>
      </c>
      <c r="K60" s="466" t="str">
        <f t="shared" si="10"/>
        <v xml:space="preserve"> </v>
      </c>
      <c r="L60" s="467" t="str">
        <f t="shared" si="10"/>
        <v xml:space="preserve"> </v>
      </c>
      <c r="M60" s="467" t="str">
        <f t="shared" si="10"/>
        <v xml:space="preserve"> </v>
      </c>
      <c r="N60" s="467" t="str">
        <f t="shared" si="10"/>
        <v xml:space="preserve"> </v>
      </c>
      <c r="O60" s="467" t="str">
        <f t="shared" si="10"/>
        <v xml:space="preserve"> </v>
      </c>
      <c r="P60" s="467" t="str">
        <f t="shared" si="10"/>
        <v xml:space="preserve"> </v>
      </c>
      <c r="Q60" s="467" t="str">
        <f t="shared" si="10"/>
        <v xml:space="preserve"> </v>
      </c>
      <c r="R60" s="467" t="str">
        <f t="shared" si="10"/>
        <v xml:space="preserve"> </v>
      </c>
      <c r="S60" s="467" t="str">
        <f t="shared" si="10"/>
        <v xml:space="preserve"> </v>
      </c>
      <c r="T60" s="467" t="str">
        <f t="shared" si="10"/>
        <v xml:space="preserve"> </v>
      </c>
      <c r="U60" s="467" t="str">
        <f t="shared" si="10"/>
        <v xml:space="preserve"> </v>
      </c>
      <c r="V60" s="467" t="str">
        <f t="shared" si="10"/>
        <v xml:space="preserve"> </v>
      </c>
      <c r="W60" s="467" t="str">
        <f t="shared" si="10"/>
        <v xml:space="preserve"> </v>
      </c>
    </row>
    <row r="61" spans="1:23" s="295" customFormat="1">
      <c r="A61" s="463"/>
      <c r="B61" s="463">
        <f t="shared" si="4"/>
        <v>0</v>
      </c>
      <c r="C61" s="464" t="str">
        <f t="shared" si="4"/>
        <v/>
      </c>
      <c r="D61" s="464">
        <f t="shared" si="4"/>
        <v>0</v>
      </c>
      <c r="E61" s="464">
        <f t="shared" si="4"/>
        <v>0</v>
      </c>
      <c r="F61" s="465" t="str">
        <f t="shared" si="4"/>
        <v xml:space="preserve"> </v>
      </c>
      <c r="G61" s="466" t="str">
        <f t="shared" si="4"/>
        <v xml:space="preserve"> </v>
      </c>
      <c r="H61" s="467" t="str">
        <f t="shared" ref="H61:W61" si="11">IF($B61&gt;0,(IF($C61="F",H22*$G22,(H22/($F22/100))*$G22))," ")</f>
        <v xml:space="preserve"> </v>
      </c>
      <c r="I61" s="467" t="str">
        <f t="shared" si="11"/>
        <v xml:space="preserve"> </v>
      </c>
      <c r="J61" s="467" t="str">
        <f t="shared" si="11"/>
        <v xml:space="preserve"> </v>
      </c>
      <c r="K61" s="466" t="str">
        <f t="shared" si="11"/>
        <v xml:space="preserve"> </v>
      </c>
      <c r="L61" s="467" t="str">
        <f t="shared" si="11"/>
        <v xml:space="preserve"> </v>
      </c>
      <c r="M61" s="467" t="str">
        <f t="shared" si="11"/>
        <v xml:space="preserve"> </v>
      </c>
      <c r="N61" s="467" t="str">
        <f t="shared" si="11"/>
        <v xml:space="preserve"> </v>
      </c>
      <c r="O61" s="467" t="str">
        <f t="shared" si="11"/>
        <v xml:space="preserve"> </v>
      </c>
      <c r="P61" s="467" t="str">
        <f t="shared" si="11"/>
        <v xml:space="preserve"> </v>
      </c>
      <c r="Q61" s="467" t="str">
        <f t="shared" si="11"/>
        <v xml:space="preserve"> </v>
      </c>
      <c r="R61" s="467" t="str">
        <f t="shared" si="11"/>
        <v xml:space="preserve"> </v>
      </c>
      <c r="S61" s="467" t="str">
        <f t="shared" si="11"/>
        <v xml:space="preserve"> </v>
      </c>
      <c r="T61" s="467" t="str">
        <f t="shared" si="11"/>
        <v xml:space="preserve"> </v>
      </c>
      <c r="U61" s="467" t="str">
        <f t="shared" si="11"/>
        <v xml:space="preserve"> </v>
      </c>
      <c r="V61" s="467" t="str">
        <f t="shared" si="11"/>
        <v xml:space="preserve"> </v>
      </c>
      <c r="W61" s="467" t="str">
        <f t="shared" si="11"/>
        <v xml:space="preserve"> </v>
      </c>
    </row>
    <row r="62" spans="1:23" s="295" customFormat="1">
      <c r="A62" s="463"/>
      <c r="B62" s="463">
        <f t="shared" si="4"/>
        <v>0</v>
      </c>
      <c r="C62" s="464" t="str">
        <f t="shared" si="4"/>
        <v/>
      </c>
      <c r="D62" s="464">
        <f t="shared" si="4"/>
        <v>0</v>
      </c>
      <c r="E62" s="464">
        <f t="shared" si="4"/>
        <v>0</v>
      </c>
      <c r="F62" s="465" t="str">
        <f t="shared" si="4"/>
        <v xml:space="preserve"> </v>
      </c>
      <c r="G62" s="466" t="str">
        <f t="shared" si="4"/>
        <v xml:space="preserve"> </v>
      </c>
      <c r="H62" s="467" t="str">
        <f t="shared" ref="H62:W62" si="12">IF($B62&gt;0,(IF($C62="F",H23*$G23,(H23/($F23/100))*$G23))," ")</f>
        <v xml:space="preserve"> </v>
      </c>
      <c r="I62" s="467" t="str">
        <f t="shared" si="12"/>
        <v xml:space="preserve"> </v>
      </c>
      <c r="J62" s="467" t="str">
        <f t="shared" si="12"/>
        <v xml:space="preserve"> </v>
      </c>
      <c r="K62" s="466" t="str">
        <f t="shared" si="12"/>
        <v xml:space="preserve"> </v>
      </c>
      <c r="L62" s="467" t="str">
        <f t="shared" si="12"/>
        <v xml:space="preserve"> </v>
      </c>
      <c r="M62" s="467" t="str">
        <f t="shared" si="12"/>
        <v xml:space="preserve"> </v>
      </c>
      <c r="N62" s="467" t="str">
        <f t="shared" si="12"/>
        <v xml:space="preserve"> </v>
      </c>
      <c r="O62" s="467" t="str">
        <f t="shared" si="12"/>
        <v xml:space="preserve"> </v>
      </c>
      <c r="P62" s="467" t="str">
        <f t="shared" si="12"/>
        <v xml:space="preserve"> </v>
      </c>
      <c r="Q62" s="467" t="str">
        <f t="shared" si="12"/>
        <v xml:space="preserve"> </v>
      </c>
      <c r="R62" s="467" t="str">
        <f t="shared" si="12"/>
        <v xml:space="preserve"> </v>
      </c>
      <c r="S62" s="467" t="str">
        <f t="shared" si="12"/>
        <v xml:space="preserve"> </v>
      </c>
      <c r="T62" s="467" t="str">
        <f t="shared" si="12"/>
        <v xml:space="preserve"> </v>
      </c>
      <c r="U62" s="467" t="str">
        <f t="shared" si="12"/>
        <v xml:space="preserve"> </v>
      </c>
      <c r="V62" s="467" t="str">
        <f t="shared" si="12"/>
        <v xml:space="preserve"> </v>
      </c>
      <c r="W62" s="467" t="str">
        <f t="shared" si="12"/>
        <v xml:space="preserve"> </v>
      </c>
    </row>
    <row r="63" spans="1:23" s="295" customFormat="1">
      <c r="A63" s="463"/>
      <c r="B63" s="463">
        <f t="shared" si="4"/>
        <v>0</v>
      </c>
      <c r="C63" s="464" t="str">
        <f t="shared" si="4"/>
        <v/>
      </c>
      <c r="D63" s="464">
        <f t="shared" si="4"/>
        <v>0</v>
      </c>
      <c r="E63" s="464">
        <f t="shared" si="4"/>
        <v>0</v>
      </c>
      <c r="F63" s="465" t="str">
        <f t="shared" si="4"/>
        <v xml:space="preserve"> </v>
      </c>
      <c r="G63" s="466" t="str">
        <f t="shared" si="4"/>
        <v xml:space="preserve"> </v>
      </c>
      <c r="H63" s="467" t="str">
        <f t="shared" ref="H63:W63" si="13">IF($B63&gt;0,(IF($C63="F",H24*$G24,(H24/($F24/100))*$G24))," ")</f>
        <v xml:space="preserve"> </v>
      </c>
      <c r="I63" s="467" t="str">
        <f t="shared" si="13"/>
        <v xml:space="preserve"> </v>
      </c>
      <c r="J63" s="467" t="str">
        <f t="shared" si="13"/>
        <v xml:space="preserve"> </v>
      </c>
      <c r="K63" s="466" t="str">
        <f t="shared" si="13"/>
        <v xml:space="preserve"> </v>
      </c>
      <c r="L63" s="467" t="str">
        <f t="shared" si="13"/>
        <v xml:space="preserve"> </v>
      </c>
      <c r="M63" s="467" t="str">
        <f t="shared" si="13"/>
        <v xml:space="preserve"> </v>
      </c>
      <c r="N63" s="467" t="str">
        <f t="shared" si="13"/>
        <v xml:space="preserve"> </v>
      </c>
      <c r="O63" s="467" t="str">
        <f t="shared" si="13"/>
        <v xml:space="preserve"> </v>
      </c>
      <c r="P63" s="467" t="str">
        <f t="shared" si="13"/>
        <v xml:space="preserve"> </v>
      </c>
      <c r="Q63" s="467" t="str">
        <f t="shared" si="13"/>
        <v xml:space="preserve"> </v>
      </c>
      <c r="R63" s="467" t="str">
        <f t="shared" si="13"/>
        <v xml:space="preserve"> </v>
      </c>
      <c r="S63" s="467" t="str">
        <f t="shared" si="13"/>
        <v xml:space="preserve"> </v>
      </c>
      <c r="T63" s="467" t="str">
        <f t="shared" si="13"/>
        <v xml:space="preserve"> </v>
      </c>
      <c r="U63" s="467" t="str">
        <f t="shared" si="13"/>
        <v xml:space="preserve"> </v>
      </c>
      <c r="V63" s="467" t="str">
        <f t="shared" si="13"/>
        <v xml:space="preserve"> </v>
      </c>
      <c r="W63" s="467" t="str">
        <f t="shared" si="13"/>
        <v xml:space="preserve"> </v>
      </c>
    </row>
    <row r="64" spans="1:23" s="295" customFormat="1">
      <c r="A64" s="463"/>
      <c r="B64" s="463">
        <f t="shared" si="4"/>
        <v>0</v>
      </c>
      <c r="C64" s="464" t="str">
        <f t="shared" si="4"/>
        <v/>
      </c>
      <c r="D64" s="464">
        <f t="shared" si="4"/>
        <v>0</v>
      </c>
      <c r="E64" s="464">
        <f t="shared" si="4"/>
        <v>0</v>
      </c>
      <c r="F64" s="465" t="str">
        <f t="shared" si="4"/>
        <v xml:space="preserve"> </v>
      </c>
      <c r="G64" s="466" t="str">
        <f t="shared" si="4"/>
        <v xml:space="preserve"> </v>
      </c>
      <c r="H64" s="467" t="str">
        <f t="shared" ref="H64:W64" si="14">IF($B64&gt;0,(IF($C64="F",H25*$G25,(H25/($F25/100))*$G25))," ")</f>
        <v xml:space="preserve"> </v>
      </c>
      <c r="I64" s="467" t="str">
        <f t="shared" si="14"/>
        <v xml:space="preserve"> </v>
      </c>
      <c r="J64" s="467" t="str">
        <f t="shared" si="14"/>
        <v xml:space="preserve"> </v>
      </c>
      <c r="K64" s="466" t="str">
        <f t="shared" si="14"/>
        <v xml:space="preserve"> </v>
      </c>
      <c r="L64" s="467" t="str">
        <f t="shared" si="14"/>
        <v xml:space="preserve"> </v>
      </c>
      <c r="M64" s="467" t="str">
        <f t="shared" si="14"/>
        <v xml:space="preserve"> </v>
      </c>
      <c r="N64" s="467" t="str">
        <f t="shared" si="14"/>
        <v xml:space="preserve"> </v>
      </c>
      <c r="O64" s="467" t="str">
        <f t="shared" si="14"/>
        <v xml:space="preserve"> </v>
      </c>
      <c r="P64" s="467" t="str">
        <f t="shared" si="14"/>
        <v xml:space="preserve"> </v>
      </c>
      <c r="Q64" s="467" t="str">
        <f t="shared" si="14"/>
        <v xml:space="preserve"> </v>
      </c>
      <c r="R64" s="467" t="str">
        <f t="shared" si="14"/>
        <v xml:space="preserve"> </v>
      </c>
      <c r="S64" s="467" t="str">
        <f t="shared" si="14"/>
        <v xml:space="preserve"> </v>
      </c>
      <c r="T64" s="467" t="str">
        <f t="shared" si="14"/>
        <v xml:space="preserve"> </v>
      </c>
      <c r="U64" s="467" t="str">
        <f t="shared" si="14"/>
        <v xml:space="preserve"> </v>
      </c>
      <c r="V64" s="467" t="str">
        <f t="shared" si="14"/>
        <v xml:space="preserve"> </v>
      </c>
      <c r="W64" s="467" t="str">
        <f t="shared" si="14"/>
        <v xml:space="preserve"> </v>
      </c>
    </row>
    <row r="65" spans="1:23" s="295" customFormat="1">
      <c r="A65" s="463"/>
      <c r="B65" s="463">
        <f t="shared" ref="B65:G70" si="15">B26</f>
        <v>0</v>
      </c>
      <c r="C65" s="464" t="str">
        <f t="shared" si="15"/>
        <v/>
      </c>
      <c r="D65" s="464">
        <f t="shared" si="15"/>
        <v>0</v>
      </c>
      <c r="E65" s="464">
        <f t="shared" si="15"/>
        <v>0</v>
      </c>
      <c r="F65" s="465" t="str">
        <f t="shared" si="15"/>
        <v xml:space="preserve"> </v>
      </c>
      <c r="G65" s="466" t="str">
        <f t="shared" si="15"/>
        <v xml:space="preserve"> </v>
      </c>
      <c r="H65" s="467" t="str">
        <f t="shared" ref="H65:W65" si="16">IF($B65&gt;0,(IF($C65="F",H26*$G26,(H26/($F26/100))*$G26))," ")</f>
        <v xml:space="preserve"> </v>
      </c>
      <c r="I65" s="467" t="str">
        <f t="shared" si="16"/>
        <v xml:space="preserve"> </v>
      </c>
      <c r="J65" s="467" t="str">
        <f t="shared" si="16"/>
        <v xml:space="preserve"> </v>
      </c>
      <c r="K65" s="466" t="str">
        <f t="shared" si="16"/>
        <v xml:space="preserve"> </v>
      </c>
      <c r="L65" s="467" t="str">
        <f t="shared" si="16"/>
        <v xml:space="preserve"> </v>
      </c>
      <c r="M65" s="467" t="str">
        <f t="shared" si="16"/>
        <v xml:space="preserve"> </v>
      </c>
      <c r="N65" s="467" t="str">
        <f t="shared" si="16"/>
        <v xml:space="preserve"> </v>
      </c>
      <c r="O65" s="467" t="str">
        <f t="shared" si="16"/>
        <v xml:space="preserve"> </v>
      </c>
      <c r="P65" s="467" t="str">
        <f t="shared" si="16"/>
        <v xml:space="preserve"> </v>
      </c>
      <c r="Q65" s="467" t="str">
        <f t="shared" si="16"/>
        <v xml:space="preserve"> </v>
      </c>
      <c r="R65" s="467" t="str">
        <f t="shared" si="16"/>
        <v xml:space="preserve"> </v>
      </c>
      <c r="S65" s="467" t="str">
        <f t="shared" si="16"/>
        <v xml:space="preserve"> </v>
      </c>
      <c r="T65" s="467" t="str">
        <f t="shared" si="16"/>
        <v xml:space="preserve"> </v>
      </c>
      <c r="U65" s="467" t="str">
        <f t="shared" si="16"/>
        <v xml:space="preserve"> </v>
      </c>
      <c r="V65" s="467" t="str">
        <f t="shared" si="16"/>
        <v xml:space="preserve"> </v>
      </c>
      <c r="W65" s="467" t="str">
        <f t="shared" si="16"/>
        <v xml:space="preserve"> </v>
      </c>
    </row>
    <row r="66" spans="1:23" s="295" customFormat="1">
      <c r="A66" s="463"/>
      <c r="B66" s="463">
        <f t="shared" si="15"/>
        <v>0</v>
      </c>
      <c r="C66" s="464" t="str">
        <f t="shared" si="15"/>
        <v/>
      </c>
      <c r="D66" s="464">
        <f t="shared" si="15"/>
        <v>0</v>
      </c>
      <c r="E66" s="464">
        <f t="shared" si="15"/>
        <v>0</v>
      </c>
      <c r="F66" s="465" t="str">
        <f t="shared" si="15"/>
        <v xml:space="preserve"> </v>
      </c>
      <c r="G66" s="466" t="str">
        <f t="shared" si="15"/>
        <v xml:space="preserve"> </v>
      </c>
      <c r="H66" s="467" t="str">
        <f t="shared" ref="H66:W66" si="17">IF($B66&gt;0,(IF($C66="F",H27*$G27,(H27/($F27/100))*$G27))," ")</f>
        <v xml:space="preserve"> </v>
      </c>
      <c r="I66" s="467" t="str">
        <f t="shared" si="17"/>
        <v xml:space="preserve"> </v>
      </c>
      <c r="J66" s="467" t="str">
        <f t="shared" si="17"/>
        <v xml:space="preserve"> </v>
      </c>
      <c r="K66" s="466" t="str">
        <f t="shared" si="17"/>
        <v xml:space="preserve"> </v>
      </c>
      <c r="L66" s="467" t="str">
        <f t="shared" si="17"/>
        <v xml:space="preserve"> </v>
      </c>
      <c r="M66" s="467" t="str">
        <f t="shared" si="17"/>
        <v xml:space="preserve"> </v>
      </c>
      <c r="N66" s="467" t="str">
        <f t="shared" si="17"/>
        <v xml:space="preserve"> </v>
      </c>
      <c r="O66" s="467" t="str">
        <f t="shared" si="17"/>
        <v xml:space="preserve"> </v>
      </c>
      <c r="P66" s="467" t="str">
        <f t="shared" si="17"/>
        <v xml:space="preserve"> </v>
      </c>
      <c r="Q66" s="467" t="str">
        <f t="shared" si="17"/>
        <v xml:space="preserve"> </v>
      </c>
      <c r="R66" s="467" t="str">
        <f t="shared" si="17"/>
        <v xml:space="preserve"> </v>
      </c>
      <c r="S66" s="467" t="str">
        <f t="shared" si="17"/>
        <v xml:space="preserve"> </v>
      </c>
      <c r="T66" s="467" t="str">
        <f t="shared" si="17"/>
        <v xml:space="preserve"> </v>
      </c>
      <c r="U66" s="467" t="str">
        <f t="shared" si="17"/>
        <v xml:space="preserve"> </v>
      </c>
      <c r="V66" s="467" t="str">
        <f t="shared" si="17"/>
        <v xml:space="preserve"> </v>
      </c>
      <c r="W66" s="467" t="str">
        <f t="shared" si="17"/>
        <v xml:space="preserve"> </v>
      </c>
    </row>
    <row r="67" spans="1:23" s="295" customFormat="1">
      <c r="A67" s="463"/>
      <c r="B67" s="463">
        <f t="shared" si="15"/>
        <v>0</v>
      </c>
      <c r="C67" s="464" t="str">
        <f t="shared" si="15"/>
        <v/>
      </c>
      <c r="D67" s="464">
        <f t="shared" si="15"/>
        <v>0</v>
      </c>
      <c r="E67" s="464">
        <f t="shared" si="15"/>
        <v>0</v>
      </c>
      <c r="F67" s="465" t="str">
        <f t="shared" si="15"/>
        <v xml:space="preserve"> </v>
      </c>
      <c r="G67" s="466" t="str">
        <f t="shared" si="15"/>
        <v xml:space="preserve"> </v>
      </c>
      <c r="H67" s="467" t="str">
        <f t="shared" ref="H67:W67" si="18">IF($B67&gt;0,(IF($C67="F",H28*$G28,(H28/($F28/100))*$G28))," ")</f>
        <v xml:space="preserve"> </v>
      </c>
      <c r="I67" s="467" t="str">
        <f t="shared" si="18"/>
        <v xml:space="preserve"> </v>
      </c>
      <c r="J67" s="467" t="str">
        <f t="shared" si="18"/>
        <v xml:space="preserve"> </v>
      </c>
      <c r="K67" s="466" t="str">
        <f t="shared" si="18"/>
        <v xml:space="preserve"> </v>
      </c>
      <c r="L67" s="467" t="str">
        <f t="shared" si="18"/>
        <v xml:space="preserve"> </v>
      </c>
      <c r="M67" s="467" t="str">
        <f t="shared" si="18"/>
        <v xml:space="preserve"> </v>
      </c>
      <c r="N67" s="467" t="str">
        <f t="shared" si="18"/>
        <v xml:space="preserve"> </v>
      </c>
      <c r="O67" s="467" t="str">
        <f t="shared" si="18"/>
        <v xml:space="preserve"> </v>
      </c>
      <c r="P67" s="467" t="str">
        <f t="shared" si="18"/>
        <v xml:space="preserve"> </v>
      </c>
      <c r="Q67" s="467" t="str">
        <f t="shared" si="18"/>
        <v xml:space="preserve"> </v>
      </c>
      <c r="R67" s="467" t="str">
        <f t="shared" si="18"/>
        <v xml:space="preserve"> </v>
      </c>
      <c r="S67" s="467" t="str">
        <f t="shared" si="18"/>
        <v xml:space="preserve"> </v>
      </c>
      <c r="T67" s="467" t="str">
        <f t="shared" si="18"/>
        <v xml:space="preserve"> </v>
      </c>
      <c r="U67" s="467" t="str">
        <f t="shared" si="18"/>
        <v xml:space="preserve"> </v>
      </c>
      <c r="V67" s="467" t="str">
        <f t="shared" si="18"/>
        <v xml:space="preserve"> </v>
      </c>
      <c r="W67" s="467" t="str">
        <f t="shared" si="18"/>
        <v xml:space="preserve"> </v>
      </c>
    </row>
    <row r="68" spans="1:23" s="295" customFormat="1">
      <c r="A68" s="463"/>
      <c r="B68" s="463">
        <f t="shared" si="15"/>
        <v>0</v>
      </c>
      <c r="C68" s="464" t="str">
        <f t="shared" si="15"/>
        <v/>
      </c>
      <c r="D68" s="464">
        <f t="shared" si="15"/>
        <v>0</v>
      </c>
      <c r="E68" s="464">
        <f t="shared" si="15"/>
        <v>0</v>
      </c>
      <c r="F68" s="465" t="str">
        <f t="shared" si="15"/>
        <v xml:space="preserve"> </v>
      </c>
      <c r="G68" s="466" t="str">
        <f t="shared" si="15"/>
        <v xml:space="preserve"> </v>
      </c>
      <c r="H68" s="467" t="str">
        <f t="shared" ref="H68:W68" si="19">IF($B68&gt;0,(IF($C68="F",H29*$G29,(H29/($F29/100))*$G29))," ")</f>
        <v xml:space="preserve"> </v>
      </c>
      <c r="I68" s="467" t="str">
        <f t="shared" si="19"/>
        <v xml:space="preserve"> </v>
      </c>
      <c r="J68" s="467" t="str">
        <f t="shared" si="19"/>
        <v xml:space="preserve"> </v>
      </c>
      <c r="K68" s="466" t="str">
        <f t="shared" si="19"/>
        <v xml:space="preserve"> </v>
      </c>
      <c r="L68" s="467" t="str">
        <f t="shared" si="19"/>
        <v xml:space="preserve"> </v>
      </c>
      <c r="M68" s="467" t="str">
        <f t="shared" si="19"/>
        <v xml:space="preserve"> </v>
      </c>
      <c r="N68" s="467" t="str">
        <f t="shared" si="19"/>
        <v xml:space="preserve"> </v>
      </c>
      <c r="O68" s="467" t="str">
        <f t="shared" si="19"/>
        <v xml:space="preserve"> </v>
      </c>
      <c r="P68" s="467" t="str">
        <f t="shared" si="19"/>
        <v xml:space="preserve"> </v>
      </c>
      <c r="Q68" s="467" t="str">
        <f t="shared" si="19"/>
        <v xml:space="preserve"> </v>
      </c>
      <c r="R68" s="467" t="str">
        <f t="shared" si="19"/>
        <v xml:space="preserve"> </v>
      </c>
      <c r="S68" s="467" t="str">
        <f t="shared" si="19"/>
        <v xml:space="preserve"> </v>
      </c>
      <c r="T68" s="467" t="str">
        <f t="shared" si="19"/>
        <v xml:space="preserve"> </v>
      </c>
      <c r="U68" s="467" t="str">
        <f t="shared" si="19"/>
        <v xml:space="preserve"> </v>
      </c>
      <c r="V68" s="467" t="str">
        <f t="shared" si="19"/>
        <v xml:space="preserve"> </v>
      </c>
      <c r="W68" s="467" t="str">
        <f t="shared" si="19"/>
        <v xml:space="preserve"> </v>
      </c>
    </row>
    <row r="69" spans="1:23" s="295" customFormat="1">
      <c r="A69" s="463"/>
      <c r="B69" s="463">
        <f t="shared" si="15"/>
        <v>0</v>
      </c>
      <c r="C69" s="464" t="str">
        <f t="shared" si="15"/>
        <v/>
      </c>
      <c r="D69" s="464">
        <f t="shared" si="15"/>
        <v>0</v>
      </c>
      <c r="E69" s="464">
        <f t="shared" si="15"/>
        <v>0</v>
      </c>
      <c r="F69" s="465" t="str">
        <f t="shared" si="15"/>
        <v xml:space="preserve"> </v>
      </c>
      <c r="G69" s="466" t="str">
        <f t="shared" si="15"/>
        <v xml:space="preserve"> </v>
      </c>
      <c r="H69" s="467" t="str">
        <f t="shared" ref="H69:W69" si="20">IF($B69&gt;0,(IF($C69="F",H30*$G30,(H30/($F30/100))*$G30))," ")</f>
        <v xml:space="preserve"> </v>
      </c>
      <c r="I69" s="467" t="str">
        <f t="shared" si="20"/>
        <v xml:space="preserve"> </v>
      </c>
      <c r="J69" s="467" t="str">
        <f t="shared" si="20"/>
        <v xml:space="preserve"> </v>
      </c>
      <c r="K69" s="466" t="str">
        <f t="shared" si="20"/>
        <v xml:space="preserve"> </v>
      </c>
      <c r="L69" s="467" t="str">
        <f t="shared" si="20"/>
        <v xml:space="preserve"> </v>
      </c>
      <c r="M69" s="467" t="str">
        <f t="shared" si="20"/>
        <v xml:space="preserve"> </v>
      </c>
      <c r="N69" s="467" t="str">
        <f t="shared" si="20"/>
        <v xml:space="preserve"> </v>
      </c>
      <c r="O69" s="467" t="str">
        <f t="shared" si="20"/>
        <v xml:space="preserve"> </v>
      </c>
      <c r="P69" s="467" t="str">
        <f t="shared" si="20"/>
        <v xml:space="preserve"> </v>
      </c>
      <c r="Q69" s="467" t="str">
        <f t="shared" si="20"/>
        <v xml:space="preserve"> </v>
      </c>
      <c r="R69" s="467" t="str">
        <f t="shared" si="20"/>
        <v xml:space="preserve"> </v>
      </c>
      <c r="S69" s="467" t="str">
        <f t="shared" si="20"/>
        <v xml:space="preserve"> </v>
      </c>
      <c r="T69" s="467" t="str">
        <f t="shared" si="20"/>
        <v xml:space="preserve"> </v>
      </c>
      <c r="U69" s="467" t="str">
        <f t="shared" si="20"/>
        <v xml:space="preserve"> </v>
      </c>
      <c r="V69" s="467" t="str">
        <f t="shared" si="20"/>
        <v xml:space="preserve"> </v>
      </c>
      <c r="W69" s="467" t="str">
        <f t="shared" si="20"/>
        <v xml:space="preserve"> </v>
      </c>
    </row>
    <row r="70" spans="1:23" s="295" customFormat="1">
      <c r="A70" s="463"/>
      <c r="B70" s="463">
        <f t="shared" si="15"/>
        <v>0</v>
      </c>
      <c r="C70" s="464" t="str">
        <f t="shared" si="15"/>
        <v/>
      </c>
      <c r="D70" s="464">
        <f t="shared" si="15"/>
        <v>0</v>
      </c>
      <c r="E70" s="464">
        <f t="shared" si="15"/>
        <v>0</v>
      </c>
      <c r="F70" s="465" t="str">
        <f t="shared" si="15"/>
        <v xml:space="preserve"> </v>
      </c>
      <c r="G70" s="466" t="str">
        <f t="shared" si="15"/>
        <v xml:space="preserve"> </v>
      </c>
      <c r="H70" s="467" t="str">
        <f t="shared" ref="H70:W70" si="21">IF($B70&gt;0,(IF($C70="F",H31*$G31,(H31/($F31/100))*$G31))," ")</f>
        <v xml:space="preserve"> </v>
      </c>
      <c r="I70" s="467" t="str">
        <f t="shared" si="21"/>
        <v xml:space="preserve"> </v>
      </c>
      <c r="J70" s="467" t="str">
        <f t="shared" si="21"/>
        <v xml:space="preserve"> </v>
      </c>
      <c r="K70" s="466" t="str">
        <f t="shared" si="21"/>
        <v xml:space="preserve"> </v>
      </c>
      <c r="L70" s="467" t="str">
        <f t="shared" si="21"/>
        <v xml:space="preserve"> </v>
      </c>
      <c r="M70" s="467" t="str">
        <f t="shared" si="21"/>
        <v xml:space="preserve"> </v>
      </c>
      <c r="N70" s="467" t="str">
        <f t="shared" si="21"/>
        <v xml:space="preserve"> </v>
      </c>
      <c r="O70" s="467" t="str">
        <f t="shared" si="21"/>
        <v xml:space="preserve"> </v>
      </c>
      <c r="P70" s="467" t="str">
        <f t="shared" si="21"/>
        <v xml:space="preserve"> </v>
      </c>
      <c r="Q70" s="467" t="str">
        <f t="shared" si="21"/>
        <v xml:space="preserve"> </v>
      </c>
      <c r="R70" s="467" t="str">
        <f t="shared" si="21"/>
        <v xml:space="preserve"> </v>
      </c>
      <c r="S70" s="467" t="str">
        <f t="shared" si="21"/>
        <v xml:space="preserve"> </v>
      </c>
      <c r="T70" s="467" t="str">
        <f t="shared" si="21"/>
        <v xml:space="preserve"> </v>
      </c>
      <c r="U70" s="467" t="str">
        <f t="shared" si="21"/>
        <v xml:space="preserve"> </v>
      </c>
      <c r="V70" s="467" t="str">
        <f t="shared" si="21"/>
        <v xml:space="preserve"> </v>
      </c>
      <c r="W70" s="467" t="str">
        <f t="shared" si="21"/>
        <v xml:space="preserve"> </v>
      </c>
    </row>
    <row r="71" spans="1:23" s="295" customFormat="1">
      <c r="A71" s="463"/>
      <c r="B71" s="463"/>
      <c r="C71" s="463"/>
      <c r="D71" s="468">
        <f>SUM(D55:D70)</f>
        <v>0</v>
      </c>
      <c r="E71" s="469" t="e">
        <f>G71/D71</f>
        <v>#DIV/0!</v>
      </c>
      <c r="F71" s="463"/>
      <c r="G71" s="468">
        <f t="shared" ref="G71:W71" si="22">SUM(G55:G70)</f>
        <v>0</v>
      </c>
      <c r="H71" s="470">
        <f t="shared" si="22"/>
        <v>0</v>
      </c>
      <c r="I71" s="470">
        <f>SUM(I55:I70)</f>
        <v>0</v>
      </c>
      <c r="J71" s="470">
        <f t="shared" si="22"/>
        <v>0</v>
      </c>
      <c r="K71" s="471">
        <f t="shared" si="22"/>
        <v>0</v>
      </c>
      <c r="L71" s="470">
        <f t="shared" si="22"/>
        <v>0</v>
      </c>
      <c r="M71" s="470">
        <f t="shared" si="22"/>
        <v>0</v>
      </c>
      <c r="N71" s="470">
        <f t="shared" si="22"/>
        <v>0</v>
      </c>
      <c r="O71" s="468">
        <f t="shared" si="22"/>
        <v>0</v>
      </c>
      <c r="P71" s="468">
        <f t="shared" si="22"/>
        <v>0</v>
      </c>
      <c r="Q71" s="470">
        <f t="shared" si="22"/>
        <v>0</v>
      </c>
      <c r="R71" s="470">
        <f t="shared" si="22"/>
        <v>0</v>
      </c>
      <c r="S71" s="470">
        <f t="shared" si="22"/>
        <v>0</v>
      </c>
      <c r="T71" s="470">
        <f t="shared" si="22"/>
        <v>0</v>
      </c>
      <c r="U71" s="470">
        <f t="shared" si="22"/>
        <v>0</v>
      </c>
      <c r="V71" s="470">
        <f t="shared" si="22"/>
        <v>0</v>
      </c>
      <c r="W71" s="471">
        <f t="shared" si="22"/>
        <v>0</v>
      </c>
    </row>
    <row r="72" spans="1:23">
      <c r="H72" s="147" t="str">
        <f>IF(A72&gt;0,(IF($C$55="F",H33*$G$16,(H33/($F$16/100))*$G$16))," ")</f>
        <v xml:space="preserve"> </v>
      </c>
    </row>
  </sheetData>
  <sheetProtection algorithmName="SHA-512" hashValue="L5MxwaDOGfXJbLrp9RGNEyJsJPh7RpffxkZzR74NE0qXV3xteA50rcE/WCLoE8EbbTfr0WF9tnf0+WIY2MAPsw==" saltValue="uKZsvgjB3+9gBcVnAs/LPA==" spinCount="100000" sheet="1" objects="1" scenarios="1"/>
  <sortState xmlns:xlrd2="http://schemas.microsoft.com/office/spreadsheetml/2017/richdata2" ref="AC16:AD24">
    <sortCondition ref="AC16:AC24"/>
  </sortState>
  <mergeCells count="5">
    <mergeCell ref="C3:F3"/>
    <mergeCell ref="C4:F4"/>
    <mergeCell ref="C5:F5"/>
    <mergeCell ref="R33:U33"/>
    <mergeCell ref="B39:C39"/>
  </mergeCells>
  <conditionalFormatting sqref="G37 K37:M37 O37:P37">
    <cfRule type="expression" dxfId="43" priority="5">
      <formula>G$37&gt;0.98</formula>
    </cfRule>
    <cfRule type="expression" dxfId="42" priority="6">
      <formula>G$37&lt;0.94</formula>
    </cfRule>
  </conditionalFormatting>
  <conditionalFormatting sqref="N4">
    <cfRule type="expression" dxfId="41" priority="1">
      <formula>$N$4&lt;$L$11</formula>
    </cfRule>
  </conditionalFormatting>
  <conditionalFormatting sqref="R36">
    <cfRule type="expression" dxfId="40" priority="9">
      <formula>$R$36&lt;$R$39</formula>
    </cfRule>
    <cfRule type="expression" dxfId="39" priority="12">
      <formula>$R$36&gt;$R$40</formula>
    </cfRule>
  </conditionalFormatting>
  <conditionalFormatting sqref="S36">
    <cfRule type="expression" dxfId="38" priority="11">
      <formula>$S$36&lt;$S$39</formula>
    </cfRule>
  </conditionalFormatting>
  <conditionalFormatting sqref="T36">
    <cfRule type="expression" dxfId="37" priority="8">
      <formula>$T$36&lt;$T$39</formula>
    </cfRule>
  </conditionalFormatting>
  <conditionalFormatting sqref="U36">
    <cfRule type="expression" dxfId="36" priority="7">
      <formula>$U$36&lt;$U$39</formula>
    </cfRule>
  </conditionalFormatting>
  <conditionalFormatting sqref="V36">
    <cfRule type="expression" dxfId="35" priority="10">
      <formula>$V$36&gt;$V$40</formula>
    </cfRule>
  </conditionalFormatting>
  <dataValidations count="1">
    <dataValidation type="list" allowBlank="1" showInputMessage="1" showErrorMessage="1" sqref="D9" xr:uid="{B0B4BAE4-C856-4D20-BE9A-091FA5E8AAC6}">
      <formula1>$AC$16:$AC$24</formula1>
    </dataValidation>
  </dataValidations>
  <pageMargins left="0.7" right="0.7" top="0.75" bottom="0.75" header="0.3" footer="0.3"/>
  <pageSetup paperSize="9"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8490C11-EB59-45CD-B142-8709EB9AAE94}">
          <x14:formula1>
            <xm:f>'Liste des aliments'!$C$6:$C$966</xm:f>
          </x14:formula1>
          <xm:sqref>B16:B31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BBFA9-5EF1-4CAE-97FC-355255491A12}">
  <sheetPr codeName="Feuil15">
    <tabColor rgb="FFFCEB6A"/>
  </sheetPr>
  <dimension ref="A2:H57"/>
  <sheetViews>
    <sheetView showGridLines="0" zoomScaleNormal="100" zoomScaleSheetLayoutView="145" workbookViewId="0">
      <selection activeCell="D3" sqref="D3"/>
    </sheetView>
  </sheetViews>
  <sheetFormatPr baseColWidth="10" defaultColWidth="11.44140625" defaultRowHeight="14.4"/>
  <cols>
    <col min="1" max="1" width="28.33203125" customWidth="1"/>
    <col min="2" max="2" width="10.109375" customWidth="1"/>
    <col min="3" max="3" width="9.109375" customWidth="1"/>
    <col min="4" max="4" width="8.6640625" customWidth="1"/>
    <col min="5" max="5" width="11.44140625" customWidth="1"/>
    <col min="6" max="6" width="6.109375" customWidth="1"/>
    <col min="7" max="7" width="12" customWidth="1"/>
    <col min="8" max="8" width="12.6640625" customWidth="1"/>
  </cols>
  <sheetData>
    <row r="2" spans="1:8" ht="24" customHeight="1">
      <c r="F2" s="40"/>
      <c r="G2" s="786">
        <f ca="1">TODAY()</f>
        <v>45922</v>
      </c>
      <c r="H2" s="786"/>
    </row>
    <row r="3" spans="1:8" s="32" customFormat="1" ht="12" customHeight="1">
      <c r="A3" s="19" t="s">
        <v>224</v>
      </c>
      <c r="B3" s="42"/>
      <c r="C3" s="42"/>
      <c r="G3" s="77"/>
    </row>
    <row r="4" spans="1:8" s="32" customFormat="1" ht="12" customHeight="1">
      <c r="A4" s="20" t="s">
        <v>225</v>
      </c>
      <c r="B4" s="42"/>
      <c r="C4" s="42"/>
    </row>
    <row r="5" spans="1:8" s="32" customFormat="1" ht="12" customHeight="1">
      <c r="A5" s="20" t="s">
        <v>226</v>
      </c>
      <c r="B5" s="42"/>
      <c r="C5" s="42"/>
    </row>
    <row r="6" spans="1:8" s="32" customFormat="1" ht="12" customHeight="1">
      <c r="A6" s="42" t="str">
        <f>_xlfn.CONCAT("Ration établie par : ",'   GR   '!C5:F5)</f>
        <v xml:space="preserve">Ration établie par : </v>
      </c>
      <c r="B6" s="42"/>
      <c r="C6" s="42"/>
    </row>
    <row r="7" spans="1:8" ht="5.25" customHeight="1"/>
    <row r="8" spans="1:8" ht="23.4">
      <c r="A8" s="783" t="str">
        <f>_xlfn.CONCAT("RATION : ",'   GR   '!C3:F3," - ",'   GR   '!C4:F4)</f>
        <v xml:space="preserve">RATION :  - </v>
      </c>
      <c r="B8" s="784"/>
      <c r="C8" s="784"/>
      <c r="D8" s="784"/>
      <c r="E8" s="784"/>
      <c r="F8" s="784"/>
      <c r="G8" s="784"/>
      <c r="H8" s="785"/>
    </row>
    <row r="10" spans="1:8" ht="12.9" customHeight="1">
      <c r="A10" s="21" t="s">
        <v>227</v>
      </c>
      <c r="B10" s="22"/>
      <c r="C10" s="23"/>
      <c r="D10" s="21" t="s">
        <v>260</v>
      </c>
      <c r="E10" s="22"/>
      <c r="F10" s="22"/>
      <c r="G10" s="22"/>
      <c r="H10" s="31"/>
    </row>
    <row r="11" spans="1:8" ht="12.9" customHeight="1">
      <c r="A11" s="23" t="s">
        <v>284</v>
      </c>
      <c r="B11" s="24" t="str">
        <f>'   GR   '!D9</f>
        <v>Maine Anjou</v>
      </c>
      <c r="C11" s="23"/>
      <c r="D11" s="23"/>
      <c r="E11" s="23"/>
      <c r="F11" s="23"/>
      <c r="G11" s="23"/>
      <c r="H11" s="32"/>
    </row>
    <row r="12" spans="1:8" ht="12.9" customHeight="1">
      <c r="A12" s="23" t="s">
        <v>275</v>
      </c>
      <c r="B12" s="24">
        <f>'   GR   '!D10</f>
        <v>450</v>
      </c>
      <c r="C12" s="23"/>
      <c r="D12" s="23"/>
      <c r="E12" s="23"/>
      <c r="F12" s="23"/>
      <c r="G12" s="23"/>
      <c r="H12" s="32"/>
    </row>
    <row r="13" spans="1:8" ht="12.9" customHeight="1">
      <c r="A13" s="23" t="s">
        <v>276</v>
      </c>
      <c r="B13" s="24">
        <f>'   GR   '!D11</f>
        <v>1000</v>
      </c>
      <c r="C13" s="23"/>
      <c r="D13" s="23"/>
      <c r="E13" s="23"/>
      <c r="F13" s="23"/>
      <c r="G13" s="23"/>
      <c r="H13" s="32"/>
    </row>
    <row r="14" spans="1:8" ht="12.9" customHeight="1">
      <c r="C14" s="23"/>
      <c r="D14" s="23"/>
      <c r="E14" s="23"/>
      <c r="F14" s="23"/>
      <c r="G14" s="23"/>
      <c r="H14" s="32"/>
    </row>
    <row r="15" spans="1:8" ht="12.9" customHeight="1">
      <c r="A15" s="21" t="s">
        <v>232</v>
      </c>
      <c r="B15" s="26"/>
      <c r="C15" s="23"/>
      <c r="D15" s="23"/>
      <c r="E15" s="23"/>
      <c r="F15" s="23"/>
      <c r="G15" s="23"/>
      <c r="H15" s="32"/>
    </row>
    <row r="16" spans="1:8" ht="12.9" customHeight="1">
      <c r="A16" s="23" t="s">
        <v>277</v>
      </c>
      <c r="B16" s="27">
        <f>'   GR   '!W35</f>
        <v>0</v>
      </c>
      <c r="C16" s="23"/>
      <c r="D16" s="23"/>
      <c r="E16" s="23"/>
      <c r="F16" s="23"/>
      <c r="G16" s="23"/>
      <c r="H16" s="32"/>
    </row>
    <row r="17" spans="1:8" ht="12.9" customHeight="1">
      <c r="A17" s="23" t="s">
        <v>234</v>
      </c>
      <c r="B17" s="99">
        <f>'   GR   '!N3</f>
        <v>0</v>
      </c>
      <c r="C17" s="23"/>
      <c r="D17" s="23"/>
      <c r="E17" s="23"/>
      <c r="F17" s="23"/>
      <c r="G17" s="23"/>
      <c r="H17" s="32"/>
    </row>
    <row r="18" spans="1:8" ht="12.9" customHeight="1">
      <c r="A18" s="23" t="s">
        <v>235</v>
      </c>
      <c r="B18" s="28" t="e">
        <f>'   GR   '!M36/'   GR   '!K36</f>
        <v>#DIV/0!</v>
      </c>
      <c r="C18" s="23"/>
      <c r="D18" s="23"/>
      <c r="E18" s="23"/>
      <c r="F18" s="23"/>
      <c r="G18" s="23"/>
      <c r="H18" s="32"/>
    </row>
    <row r="19" spans="1:8" ht="12.9" customHeight="1">
      <c r="A19" s="23" t="s">
        <v>236</v>
      </c>
      <c r="B19" s="80" t="e">
        <f>'   GR   '!I36/'   GR   '!H36*1000</f>
        <v>#DIV/0!</v>
      </c>
      <c r="C19" s="23"/>
      <c r="D19" s="23"/>
      <c r="E19" s="23"/>
      <c r="F19" s="23"/>
      <c r="G19" s="23"/>
      <c r="H19" s="32"/>
    </row>
    <row r="20" spans="1:8" ht="12.9" customHeight="1">
      <c r="A20" s="23" t="s">
        <v>278</v>
      </c>
      <c r="B20" s="29" t="e">
        <f>'   GR   '!E35</f>
        <v>#DIV/0!</v>
      </c>
      <c r="C20" s="23"/>
      <c r="D20" s="23"/>
      <c r="E20" s="23"/>
      <c r="F20" s="23"/>
      <c r="G20" s="23"/>
      <c r="H20" s="32"/>
    </row>
    <row r="21" spans="1:8" ht="12.9" customHeight="1">
      <c r="A21" s="23"/>
      <c r="B21" s="23"/>
      <c r="C21" s="23"/>
      <c r="D21" s="23"/>
      <c r="E21" s="23"/>
      <c r="F21" s="23"/>
      <c r="G21" s="23"/>
      <c r="H21" s="32"/>
    </row>
    <row r="22" spans="1:8" ht="12.9" customHeight="1">
      <c r="A22" s="21" t="s">
        <v>186</v>
      </c>
      <c r="B22" s="22"/>
      <c r="C22" s="22"/>
      <c r="D22" s="22"/>
      <c r="E22" s="22"/>
      <c r="F22" s="22"/>
      <c r="G22" s="22"/>
      <c r="H22" s="31"/>
    </row>
    <row r="23" spans="1:8" ht="9" customHeight="1">
      <c r="A23" s="23"/>
      <c r="B23" s="23"/>
      <c r="C23" s="23"/>
      <c r="D23" s="23"/>
      <c r="E23" s="23"/>
      <c r="F23" s="23"/>
      <c r="G23" s="23"/>
    </row>
    <row r="24" spans="1:8" ht="17.399999999999999" customHeight="1">
      <c r="A24" s="72" t="s">
        <v>238</v>
      </c>
      <c r="B24" s="72" t="s">
        <v>188</v>
      </c>
      <c r="C24" s="72" t="s">
        <v>191</v>
      </c>
      <c r="D24" s="30"/>
      <c r="E24" s="23"/>
      <c r="F24" s="23"/>
      <c r="G24" s="23"/>
    </row>
    <row r="25" spans="1:8" ht="15" customHeight="1">
      <c r="A25" s="71" t="str">
        <f>IF(ISBLANK('   GR   '!B16)," ",'   GR   '!B16)</f>
        <v xml:space="preserve"> </v>
      </c>
      <c r="B25" s="70" t="str">
        <f>IF(ISBLANK('   GR   '!B16),"",'   GR   '!D16)</f>
        <v/>
      </c>
      <c r="C25" s="71" t="str">
        <f>'   GR   '!G16</f>
        <v xml:space="preserve"> </v>
      </c>
      <c r="D25" s="30"/>
      <c r="E25" s="38" t="s">
        <v>239</v>
      </c>
      <c r="F25" s="36">
        <f>'   GR   '!D35</f>
        <v>0</v>
      </c>
      <c r="G25" s="34" t="s">
        <v>279</v>
      </c>
    </row>
    <row r="26" spans="1:8" ht="15" customHeight="1">
      <c r="A26" s="71" t="str">
        <f>IF(ISBLANK('   GR   '!B17)," ",'   GR   '!B17)</f>
        <v xml:space="preserve"> </v>
      </c>
      <c r="B26" s="70" t="str">
        <f>IF(ISBLANK('   GR   '!B17),"",'   GR   '!D17)</f>
        <v/>
      </c>
      <c r="C26" s="71" t="str">
        <f>'   GR   '!G17</f>
        <v xml:space="preserve"> </v>
      </c>
      <c r="D26" s="30"/>
      <c r="E26" s="39" t="s">
        <v>241</v>
      </c>
      <c r="F26" s="37">
        <f>'   GR   '!G35</f>
        <v>0</v>
      </c>
      <c r="G26" s="35" t="s">
        <v>279</v>
      </c>
    </row>
    <row r="27" spans="1:8" ht="15" customHeight="1">
      <c r="A27" s="71" t="str">
        <f>IF(ISBLANK('   GR   '!B18)," ",'   GR   '!B18)</f>
        <v xml:space="preserve"> </v>
      </c>
      <c r="B27" s="70" t="str">
        <f>IF(ISBLANK('   GR   '!B18),"",'   GR   '!D18)</f>
        <v/>
      </c>
      <c r="C27" s="71" t="str">
        <f>'   GR   '!G18</f>
        <v xml:space="preserve"> </v>
      </c>
      <c r="D27" s="30"/>
      <c r="E27" s="23"/>
      <c r="F27" s="23"/>
      <c r="G27" s="23"/>
      <c r="H27" s="32"/>
    </row>
    <row r="28" spans="1:8" ht="15" customHeight="1">
      <c r="A28" s="71" t="str">
        <f>IF(ISBLANK('   GR   '!B19)," ",'   GR   '!B19)</f>
        <v xml:space="preserve"> </v>
      </c>
      <c r="B28" s="70" t="str">
        <f>IF(ISBLANK('   GR   '!B19),"",'   GR   '!D19)</f>
        <v/>
      </c>
      <c r="C28" s="71" t="str">
        <f>'   GR   '!G19</f>
        <v xml:space="preserve"> </v>
      </c>
      <c r="D28" s="30"/>
      <c r="E28" s="23"/>
      <c r="F28" s="23"/>
      <c r="G28" s="23"/>
      <c r="H28" s="32"/>
    </row>
    <row r="29" spans="1:8" ht="15" customHeight="1">
      <c r="A29" s="71" t="str">
        <f>IF(ISBLANK('   GR   '!B20)," ",'   GR   '!B20)</f>
        <v xml:space="preserve"> </v>
      </c>
      <c r="B29" s="70" t="str">
        <f>IF(ISBLANK('   GR   '!B20),"",'   GR   '!D20)</f>
        <v/>
      </c>
      <c r="C29" s="71" t="str">
        <f>'   GR   '!G20</f>
        <v xml:space="preserve"> </v>
      </c>
      <c r="D29" s="30"/>
      <c r="E29" s="23"/>
      <c r="F29" s="23"/>
      <c r="G29" s="23"/>
      <c r="H29" s="32"/>
    </row>
    <row r="30" spans="1:8" ht="15" customHeight="1">
      <c r="A30" s="71" t="str">
        <f>IF(ISBLANK('   GR   '!B21)," ",'   GR   '!B21)</f>
        <v xml:space="preserve"> </v>
      </c>
      <c r="B30" s="70" t="str">
        <f>IF(ISBLANK('   GR   '!B21),"",'   GR   '!D21)</f>
        <v/>
      </c>
      <c r="C30" s="71" t="str">
        <f>'   GR   '!G21</f>
        <v xml:space="preserve"> </v>
      </c>
      <c r="D30" s="30"/>
      <c r="E30" s="23"/>
      <c r="F30" s="23"/>
      <c r="G30" s="23"/>
      <c r="H30" s="32"/>
    </row>
    <row r="31" spans="1:8" ht="15" customHeight="1">
      <c r="A31" s="71" t="str">
        <f>IF(ISBLANK('   GR   '!B22)," ",'   GR   '!B22)</f>
        <v xml:space="preserve"> </v>
      </c>
      <c r="B31" s="70" t="str">
        <f>IF(ISBLANK('   GR   '!B22),"",'   GR   '!D22)</f>
        <v/>
      </c>
      <c r="C31" s="71" t="str">
        <f>'   GR   '!G22</f>
        <v xml:space="preserve"> </v>
      </c>
      <c r="D31" s="33"/>
      <c r="E31" s="32"/>
      <c r="F31" s="32"/>
      <c r="G31" s="32"/>
      <c r="H31" s="32"/>
    </row>
    <row r="32" spans="1:8" ht="15" customHeight="1">
      <c r="A32" s="71" t="str">
        <f>IF(ISBLANK('   GR   '!B23)," ",'   GR   '!B23)</f>
        <v xml:space="preserve"> </v>
      </c>
      <c r="B32" s="70" t="str">
        <f>IF(ISBLANK('   GR   '!B23),"",'   GR   '!D23)</f>
        <v/>
      </c>
      <c r="C32" s="71" t="str">
        <f>'   GR   '!G23</f>
        <v xml:space="preserve"> </v>
      </c>
      <c r="D32" s="33"/>
      <c r="E32" s="32"/>
      <c r="F32" s="32"/>
      <c r="G32" s="32"/>
      <c r="H32" s="32"/>
    </row>
    <row r="33" spans="1:8" ht="15" customHeight="1">
      <c r="A33" s="71" t="str">
        <f>IF(ISBLANK('   GR   '!B24)," ",'   GR   '!B24)</f>
        <v xml:space="preserve"> </v>
      </c>
      <c r="B33" s="70" t="str">
        <f>IF(ISBLANK('   GR   '!B24),"",'   GR   '!D24)</f>
        <v/>
      </c>
      <c r="C33" s="71" t="str">
        <f>'   GR   '!G24</f>
        <v xml:space="preserve"> </v>
      </c>
      <c r="D33" s="33"/>
      <c r="E33" s="32"/>
      <c r="F33" s="32"/>
      <c r="G33" s="32"/>
      <c r="H33" s="32"/>
    </row>
    <row r="34" spans="1:8" ht="15" customHeight="1">
      <c r="A34" s="71" t="str">
        <f>IF(ISBLANK('   GR   '!B25)," ",'   GR   '!B25)</f>
        <v xml:space="preserve"> </v>
      </c>
      <c r="B34" s="70" t="str">
        <f>IF(ISBLANK('   GR   '!B25),"",'   GR   '!D25)</f>
        <v/>
      </c>
      <c r="C34" s="71" t="str">
        <f>'   GR   '!G25</f>
        <v xml:space="preserve"> </v>
      </c>
      <c r="D34" s="33"/>
      <c r="E34" s="32"/>
      <c r="F34" s="32"/>
      <c r="G34" s="32"/>
      <c r="H34" s="32"/>
    </row>
    <row r="35" spans="1:8" ht="15" customHeight="1">
      <c r="A35" s="71" t="str">
        <f>IF(ISBLANK('   GR   '!B26)," ",'   GR   '!B26)</f>
        <v xml:space="preserve"> </v>
      </c>
      <c r="B35" s="70" t="str">
        <f>IF(ISBLANK('   GR   '!B26),"",'   GR   '!D26)</f>
        <v/>
      </c>
      <c r="C35" s="71" t="str">
        <f>'   GR   '!G26</f>
        <v xml:space="preserve"> </v>
      </c>
      <c r="D35" s="33"/>
      <c r="E35" s="32"/>
      <c r="F35" s="32"/>
      <c r="G35" s="32"/>
      <c r="H35" s="32"/>
    </row>
    <row r="36" spans="1:8" ht="15" customHeight="1">
      <c r="A36" s="71" t="str">
        <f>IF(ISBLANK('   GR   '!B27)," ",'   GR   '!B27)</f>
        <v xml:space="preserve"> </v>
      </c>
      <c r="B36" s="70" t="str">
        <f>IF(ISBLANK('   GR   '!B27),"",'   GR   '!D27)</f>
        <v/>
      </c>
      <c r="C36" s="71" t="str">
        <f>'   GR   '!G27</f>
        <v xml:space="preserve"> </v>
      </c>
      <c r="D36" s="33"/>
      <c r="E36" s="32"/>
      <c r="F36" s="32"/>
      <c r="G36" s="32"/>
      <c r="H36" s="32"/>
    </row>
    <row r="37" spans="1:8" ht="15" customHeight="1">
      <c r="A37" s="71" t="str">
        <f>IF(ISBLANK('   GR   '!B28)," ",'   GR   '!B28)</f>
        <v xml:space="preserve"> </v>
      </c>
      <c r="B37" s="70" t="str">
        <f>IF(ISBLANK('   GR   '!B28),"",'   GR   '!D28)</f>
        <v/>
      </c>
      <c r="C37" s="71" t="str">
        <f>'   GR   '!G28</f>
        <v xml:space="preserve"> </v>
      </c>
      <c r="D37" s="33"/>
      <c r="E37" s="32"/>
      <c r="F37" s="32"/>
      <c r="G37" s="32"/>
      <c r="H37" s="32"/>
    </row>
    <row r="38" spans="1:8" ht="15" customHeight="1">
      <c r="A38" s="71" t="str">
        <f>IF(ISBLANK('   GR   '!B29)," ",'   GR   '!B29)</f>
        <v xml:space="preserve"> </v>
      </c>
      <c r="B38" s="70" t="str">
        <f>IF(ISBLANK('   GR   '!B29),"",'   GR   '!D29)</f>
        <v/>
      </c>
      <c r="C38" s="71" t="str">
        <f>'   GR   '!G29</f>
        <v xml:space="preserve"> </v>
      </c>
      <c r="D38" s="33"/>
      <c r="E38" s="32"/>
      <c r="F38" s="32"/>
      <c r="G38" s="32"/>
      <c r="H38" s="32"/>
    </row>
    <row r="39" spans="1:8" ht="15" customHeight="1">
      <c r="A39" s="71" t="str">
        <f>IF(ISBLANK('   GR   '!B30)," ",'   GR   '!B30)</f>
        <v xml:space="preserve"> </v>
      </c>
      <c r="B39" s="70" t="str">
        <f>IF(ISBLANK('   GR   '!B30),"",'   GR   '!D30)</f>
        <v/>
      </c>
      <c r="C39" s="71" t="str">
        <f>'   GR   '!G30</f>
        <v xml:space="preserve"> </v>
      </c>
      <c r="D39" s="33"/>
      <c r="E39" s="32"/>
      <c r="F39" s="32"/>
      <c r="G39" s="32"/>
      <c r="H39" s="32"/>
    </row>
    <row r="40" spans="1:8" ht="15" customHeight="1">
      <c r="A40" s="71" t="str">
        <f>IF(ISBLANK('   GR   '!B31)," ",'   GR   '!B31)</f>
        <v xml:space="preserve"> </v>
      </c>
      <c r="B40" s="70" t="str">
        <f>IF(ISBLANK('   GR   '!B31),"",'   GR   '!D31)</f>
        <v/>
      </c>
      <c r="C40" s="71" t="str">
        <f>'   GR   '!G31</f>
        <v xml:space="preserve"> </v>
      </c>
      <c r="D40" s="32"/>
      <c r="E40" s="32"/>
      <c r="F40" s="32"/>
      <c r="G40" s="32"/>
      <c r="H40" s="32"/>
    </row>
    <row r="41" spans="1:8" ht="5.4" customHeight="1">
      <c r="A41" s="71"/>
      <c r="B41" s="70" t="str">
        <f>IF(ISBLANK('   GL   '!B35)," ",'   GL   '!D35)</f>
        <v xml:space="preserve"> </v>
      </c>
      <c r="C41" s="82">
        <f>'   GL   '!G35</f>
        <v>0</v>
      </c>
      <c r="D41" s="32"/>
      <c r="E41" s="32"/>
      <c r="F41" s="32"/>
      <c r="G41" s="32"/>
      <c r="H41" s="32"/>
    </row>
    <row r="42" spans="1:8" ht="12.9" customHeight="1">
      <c r="A42" s="78" t="s">
        <v>248</v>
      </c>
      <c r="B42" s="48"/>
      <c r="C42" s="48"/>
      <c r="D42" s="48"/>
      <c r="E42" s="48"/>
      <c r="F42" s="48"/>
      <c r="G42" s="48"/>
      <c r="H42" s="49"/>
    </row>
    <row r="43" spans="1:8" ht="4.2" customHeight="1">
      <c r="A43" s="50"/>
      <c r="H43" s="51"/>
    </row>
    <row r="44" spans="1:8" ht="12" customHeight="1">
      <c r="A44" s="52" t="s">
        <v>42</v>
      </c>
      <c r="B44" s="45" t="e">
        <f>'   GR   '!H36</f>
        <v>#DIV/0!</v>
      </c>
      <c r="C44" s="32"/>
      <c r="D44" s="782" t="s">
        <v>54</v>
      </c>
      <c r="E44" s="782"/>
      <c r="F44" s="45" t="e">
        <f>'   GR   '!R36</f>
        <v>#DIV/0!</v>
      </c>
      <c r="G44" s="32" t="s">
        <v>249</v>
      </c>
      <c r="H44" s="51"/>
    </row>
    <row r="45" spans="1:8" ht="12" customHeight="1">
      <c r="A45" s="52" t="s">
        <v>44</v>
      </c>
      <c r="B45" s="45" t="e">
        <f>'   GR   '!I36</f>
        <v>#DIV/0!</v>
      </c>
      <c r="C45" s="32" t="s">
        <v>249</v>
      </c>
      <c r="D45" s="782" t="s">
        <v>193</v>
      </c>
      <c r="E45" s="782"/>
      <c r="F45" s="45" t="e">
        <f>'   GR   '!S36</f>
        <v>#DIV/0!</v>
      </c>
      <c r="G45" s="32" t="s">
        <v>249</v>
      </c>
      <c r="H45" s="51"/>
    </row>
    <row r="46" spans="1:8" ht="12" customHeight="1">
      <c r="A46" s="52" t="s">
        <v>45</v>
      </c>
      <c r="B46" s="45" t="e">
        <f>'   GR   '!J36</f>
        <v>#DIV/0!</v>
      </c>
      <c r="C46" s="32" t="s">
        <v>249</v>
      </c>
      <c r="D46" s="782" t="s">
        <v>56</v>
      </c>
      <c r="E46" s="782"/>
      <c r="F46" s="45" t="e">
        <f>'   GR   '!T36</f>
        <v>#DIV/0!</v>
      </c>
      <c r="G46" s="32" t="s">
        <v>249</v>
      </c>
      <c r="H46" s="51"/>
    </row>
    <row r="47" spans="1:8" ht="12" customHeight="1">
      <c r="A47" s="52" t="s">
        <v>46</v>
      </c>
      <c r="B47" s="46" t="e">
        <f>'   GR   '!K36</f>
        <v>#DIV/0!</v>
      </c>
      <c r="C47" s="32"/>
      <c r="D47" s="782" t="s">
        <v>57</v>
      </c>
      <c r="E47" s="782"/>
      <c r="F47" s="45" t="e">
        <f>'   GR   '!U36</f>
        <v>#DIV/0!</v>
      </c>
      <c r="G47" s="32" t="s">
        <v>249</v>
      </c>
      <c r="H47" s="51"/>
    </row>
    <row r="48" spans="1:8" ht="12" customHeight="1">
      <c r="A48" s="52" t="s">
        <v>48</v>
      </c>
      <c r="B48" s="45" t="e">
        <f>'   GR   '!L36</f>
        <v>#DIV/0!</v>
      </c>
      <c r="C48" s="32" t="s">
        <v>249</v>
      </c>
      <c r="D48" s="782" t="s">
        <v>51</v>
      </c>
      <c r="E48" s="782"/>
      <c r="F48" s="47" t="e">
        <f>'   GR   '!O36</f>
        <v>#DIV/0!</v>
      </c>
      <c r="G48" s="32" t="s">
        <v>249</v>
      </c>
      <c r="H48" s="51"/>
    </row>
    <row r="49" spans="1:8" ht="12" customHeight="1">
      <c r="A49" s="52" t="s">
        <v>49</v>
      </c>
      <c r="B49" s="45" t="e">
        <f>'   GR   '!M36</f>
        <v>#DIV/0!</v>
      </c>
      <c r="C49" s="32" t="s">
        <v>249</v>
      </c>
      <c r="D49" s="782" t="s">
        <v>52</v>
      </c>
      <c r="E49" s="782"/>
      <c r="F49" s="47" t="e">
        <f>'   GR   '!P36</f>
        <v>#DIV/0!</v>
      </c>
      <c r="G49" s="32" t="s">
        <v>249</v>
      </c>
      <c r="H49" s="51"/>
    </row>
    <row r="50" spans="1:8" ht="12" customHeight="1">
      <c r="A50" s="52" t="s">
        <v>250</v>
      </c>
      <c r="B50" s="45" t="e">
        <f>'   GR   '!N36</f>
        <v>#DIV/0!</v>
      </c>
      <c r="C50" s="32" t="s">
        <v>249</v>
      </c>
      <c r="D50" s="782" t="s">
        <v>251</v>
      </c>
      <c r="E50" s="782"/>
      <c r="F50" s="45" t="e">
        <f>'   GR   '!V36</f>
        <v>#DIV/0!</v>
      </c>
      <c r="G50" s="32" t="s">
        <v>249</v>
      </c>
      <c r="H50" s="51"/>
    </row>
    <row r="51" spans="1:8" ht="12" customHeight="1">
      <c r="A51" s="53" t="s">
        <v>192</v>
      </c>
      <c r="B51" s="54" t="e">
        <f>'   GR   '!Q36</f>
        <v>#DIV/0!</v>
      </c>
      <c r="C51" s="31" t="s">
        <v>249</v>
      </c>
      <c r="D51" s="31"/>
      <c r="E51" s="31"/>
      <c r="F51" s="31"/>
      <c r="G51" s="31"/>
      <c r="H51" s="55"/>
    </row>
    <row r="52" spans="1:8" ht="7.5" customHeight="1"/>
    <row r="53" spans="1:8" ht="15" customHeight="1">
      <c r="A53" s="79" t="s">
        <v>252</v>
      </c>
      <c r="B53" s="64"/>
      <c r="C53" s="64"/>
      <c r="D53" s="64"/>
      <c r="E53" s="64"/>
      <c r="F53" s="64"/>
      <c r="G53" s="64"/>
      <c r="H53" s="65"/>
    </row>
    <row r="54" spans="1:8" ht="12.9" customHeight="1">
      <c r="A54" s="50"/>
      <c r="H54" s="66"/>
    </row>
    <row r="55" spans="1:8" ht="12" customHeight="1">
      <c r="A55" s="50"/>
      <c r="H55" s="66"/>
    </row>
    <row r="56" spans="1:8" ht="12" customHeight="1">
      <c r="A56" s="50"/>
      <c r="H56" s="66"/>
    </row>
    <row r="57" spans="1:8" ht="15" customHeight="1">
      <c r="A57" s="67"/>
      <c r="B57" s="41"/>
      <c r="C57" s="41"/>
      <c r="D57" s="41"/>
      <c r="E57" s="41"/>
      <c r="F57" s="41"/>
      <c r="G57" s="41"/>
      <c r="H57" s="55"/>
    </row>
  </sheetData>
  <sheetProtection algorithmName="SHA-512" hashValue="0Fqy3F3rX0blHx5yDtLkMuvk13XHg78qwinTmOnzt15N4d6YujCR2TADUy42I+lpHbNi/RT2SkPB71oZcx42jg==" saltValue="x/vY6lF62BZkMcMHecHCVg==" spinCount="100000" sheet="1" objects="1" scenarios="1" selectLockedCells="1" selectUnlockedCells="1"/>
  <mergeCells count="9">
    <mergeCell ref="D48:E48"/>
    <mergeCell ref="D49:E49"/>
    <mergeCell ref="D50:E50"/>
    <mergeCell ref="G2:H2"/>
    <mergeCell ref="A8:H8"/>
    <mergeCell ref="D44:E44"/>
    <mergeCell ref="D45:E45"/>
    <mergeCell ref="D46:E46"/>
    <mergeCell ref="D47:E47"/>
  </mergeCells>
  <pageMargins left="0.23622047244094491" right="0.23622047244094491" top="0.35433070866141736" bottom="0.35433070866141736" header="0.31496062992125984" footer="0.31496062992125984"/>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53E54-5CD6-4951-87D3-FF57ACC35340}">
  <sheetPr codeName="Feuil16">
    <tabColor rgb="FFFEFCCE"/>
  </sheetPr>
  <dimension ref="A1:AX93"/>
  <sheetViews>
    <sheetView showGridLines="0" zoomScaleNormal="100" workbookViewId="0">
      <selection activeCell="H16" sqref="H16"/>
    </sheetView>
  </sheetViews>
  <sheetFormatPr baseColWidth="10" defaultColWidth="11.44140625" defaultRowHeight="13.8"/>
  <cols>
    <col min="1" max="1" width="4.6640625" style="109" customWidth="1"/>
    <col min="2" max="2" width="28.44140625" style="109" customWidth="1"/>
    <col min="3" max="3" width="5.6640625" style="109" customWidth="1"/>
    <col min="4" max="5" width="8.6640625" style="109" customWidth="1"/>
    <col min="6" max="6" width="10.109375" style="109" customWidth="1"/>
    <col min="7" max="15" width="8.6640625" style="109" customWidth="1"/>
    <col min="16" max="16" width="10.109375" style="109" customWidth="1"/>
    <col min="17" max="18" width="8.6640625" style="109" customWidth="1"/>
    <col min="19" max="19" width="11.109375" style="109" customWidth="1"/>
    <col min="20" max="23" width="8.6640625" style="109" customWidth="1"/>
    <col min="24" max="24" width="11.44140625" style="109"/>
    <col min="25" max="26" width="10.6640625" style="109" customWidth="1"/>
    <col min="27" max="27" width="10.6640625" style="295" customWidth="1"/>
    <col min="28" max="28" width="18" style="295" bestFit="1" customWidth="1"/>
    <col min="29" max="29" width="13.6640625" style="295" bestFit="1" customWidth="1"/>
    <col min="30" max="30" width="13.6640625" style="295" customWidth="1"/>
    <col min="31" max="31" width="13.44140625" style="295" bestFit="1" customWidth="1"/>
    <col min="32" max="32" width="7" style="546" bestFit="1" customWidth="1"/>
    <col min="33" max="33" width="10.44140625" style="546" bestFit="1" customWidth="1"/>
    <col min="34" max="34" width="10.5546875" style="546" bestFit="1" customWidth="1"/>
    <col min="35" max="35" width="12" style="546" bestFit="1" customWidth="1"/>
    <col min="36" max="36" width="12.44140625" style="546" bestFit="1" customWidth="1"/>
    <col min="37" max="37" width="11.33203125" style="546" customWidth="1"/>
    <col min="38" max="38" width="18.6640625" style="546" bestFit="1" customWidth="1"/>
    <col min="39" max="39" width="15.6640625" style="546" bestFit="1" customWidth="1"/>
    <col min="40" max="50" width="11.44140625" style="546"/>
    <col min="51" max="16384" width="11.44140625" style="109"/>
  </cols>
  <sheetData>
    <row r="1" spans="2:39" ht="25.5" customHeight="1">
      <c r="B1" s="775" t="s">
        <v>254</v>
      </c>
      <c r="C1" s="775"/>
      <c r="D1" s="775"/>
      <c r="E1" s="775"/>
      <c r="F1" s="775"/>
      <c r="G1" s="775"/>
      <c r="H1" s="775"/>
      <c r="I1" s="775"/>
      <c r="J1" s="775"/>
      <c r="K1" s="775"/>
      <c r="L1" s="775"/>
      <c r="M1" s="775"/>
      <c r="N1" s="775"/>
      <c r="O1" s="775"/>
      <c r="P1" s="775"/>
      <c r="Q1" s="775"/>
      <c r="R1" s="775"/>
      <c r="S1" s="775"/>
      <c r="T1" s="775"/>
      <c r="U1" s="775"/>
      <c r="V1" s="775"/>
      <c r="W1" s="775"/>
      <c r="X1" s="775"/>
    </row>
    <row r="2" spans="2:39" ht="14.4" thickBot="1"/>
    <row r="3" spans="2:39" ht="15" customHeight="1">
      <c r="B3" s="90" t="s">
        <v>158</v>
      </c>
      <c r="C3" s="777"/>
      <c r="D3" s="777"/>
      <c r="E3" s="777"/>
      <c r="F3" s="778"/>
      <c r="G3" s="1"/>
      <c r="H3" s="1"/>
      <c r="I3" s="1"/>
      <c r="J3" s="437" t="s">
        <v>162</v>
      </c>
      <c r="K3" s="437"/>
      <c r="L3" s="544">
        <f>(D10*D14*0.7/1000)-T38</f>
        <v>3.9899999999999993</v>
      </c>
      <c r="M3" s="1"/>
      <c r="N3" s="1"/>
      <c r="O3" s="1"/>
      <c r="R3" s="112" t="s">
        <v>260</v>
      </c>
      <c r="S3" s="111"/>
      <c r="U3" s="111"/>
      <c r="V3" s="111"/>
    </row>
    <row r="4" spans="2:39" ht="15" customHeight="1">
      <c r="B4" s="92" t="s">
        <v>161</v>
      </c>
      <c r="C4" s="779"/>
      <c r="D4" s="779"/>
      <c r="E4" s="779"/>
      <c r="F4" s="779"/>
      <c r="G4" s="1"/>
      <c r="H4" s="1"/>
      <c r="I4" s="1"/>
      <c r="J4" s="437" t="s">
        <v>159</v>
      </c>
      <c r="K4" s="437"/>
      <c r="L4" s="439">
        <f>G38/H10</f>
        <v>0</v>
      </c>
      <c r="M4" s="440">
        <f>G38/(D9/100)</f>
        <v>0</v>
      </c>
      <c r="N4" s="441" t="s">
        <v>280</v>
      </c>
      <c r="O4" s="442"/>
      <c r="AA4" s="321"/>
    </row>
    <row r="5" spans="2:39" ht="15" customHeight="1" thickBot="1">
      <c r="B5" s="91" t="s">
        <v>163</v>
      </c>
      <c r="C5" s="780"/>
      <c r="D5" s="780"/>
      <c r="E5" s="780"/>
      <c r="F5" s="781"/>
      <c r="G5" s="1"/>
      <c r="H5" s="1"/>
      <c r="I5" s="1"/>
      <c r="J5" s="437" t="s">
        <v>281</v>
      </c>
      <c r="K5" s="437"/>
      <c r="L5" s="545" t="e">
        <f>(I39-J39)/H39</f>
        <v>#DIV/0!</v>
      </c>
      <c r="M5" s="1"/>
      <c r="N5" s="1"/>
      <c r="O5" s="1"/>
      <c r="AA5" s="321"/>
      <c r="AF5" s="547"/>
      <c r="AG5" s="547"/>
    </row>
    <row r="6" spans="2:39" ht="15" customHeight="1">
      <c r="G6" s="1"/>
      <c r="H6" s="1"/>
      <c r="I6" s="1"/>
      <c r="J6" s="437" t="s">
        <v>282</v>
      </c>
      <c r="K6" s="437"/>
      <c r="L6" s="443" t="e">
        <f>(MIN(I38:J38)/H38)</f>
        <v>#DIV/0!</v>
      </c>
      <c r="M6" s="1"/>
      <c r="N6" s="1"/>
      <c r="O6" s="1"/>
    </row>
    <row r="7" spans="2:39" ht="15.6">
      <c r="B7" s="110" t="s">
        <v>365</v>
      </c>
      <c r="G7" s="1"/>
      <c r="H7" s="1"/>
      <c r="I7" s="1"/>
      <c r="J7" s="1"/>
      <c r="K7" s="1"/>
      <c r="L7" s="1"/>
      <c r="M7" s="1"/>
      <c r="N7" s="1"/>
      <c r="O7" s="1"/>
      <c r="AF7" s="547"/>
      <c r="AG7" s="548"/>
      <c r="AH7" s="547"/>
      <c r="AI7" s="547"/>
    </row>
    <row r="8" spans="2:39" ht="6" customHeight="1" thickBot="1">
      <c r="G8" s="1"/>
      <c r="H8" s="1"/>
      <c r="I8" s="1"/>
      <c r="J8" s="1"/>
      <c r="K8" s="1"/>
      <c r="L8" s="1"/>
      <c r="M8" s="1"/>
      <c r="N8" s="1"/>
      <c r="O8" s="1"/>
      <c r="AJ8" s="547"/>
      <c r="AK8" s="547"/>
    </row>
    <row r="9" spans="2:39" ht="14.4">
      <c r="B9" s="264" t="s">
        <v>167</v>
      </c>
      <c r="C9" s="540"/>
      <c r="D9" s="296">
        <v>750</v>
      </c>
      <c r="F9" s="18" t="s">
        <v>286</v>
      </c>
      <c r="G9" s="18"/>
      <c r="H9" s="217" t="s">
        <v>169</v>
      </c>
      <c r="I9" s="218" t="s">
        <v>321</v>
      </c>
      <c r="J9" s="218" t="s">
        <v>47</v>
      </c>
      <c r="K9" s="218" t="s">
        <v>48</v>
      </c>
      <c r="L9" s="218" t="s">
        <v>49</v>
      </c>
      <c r="M9" s="218" t="s">
        <v>366</v>
      </c>
      <c r="N9" s="218" t="s">
        <v>172</v>
      </c>
      <c r="O9" s="219" t="s">
        <v>173</v>
      </c>
      <c r="AB9" s="555"/>
      <c r="AF9" s="549"/>
      <c r="AG9" s="549"/>
      <c r="AH9" s="549"/>
      <c r="AI9" s="549"/>
      <c r="AJ9" s="549"/>
      <c r="AK9" s="549"/>
      <c r="AL9" s="549"/>
      <c r="AM9" s="549"/>
    </row>
    <row r="10" spans="2:39" ht="14.4">
      <c r="B10" s="265" t="s">
        <v>363</v>
      </c>
      <c r="C10" s="390"/>
      <c r="D10" s="550">
        <v>950</v>
      </c>
      <c r="F10" s="337" t="s">
        <v>181</v>
      </c>
      <c r="G10" s="516"/>
      <c r="H10" s="396">
        <f>0.01*D9+6.54</f>
        <v>14.04</v>
      </c>
      <c r="I10" s="444">
        <f>(1.5*(D9/100)+3.2)-0.002*D9*(D11-2.5)</f>
        <v>13.7</v>
      </c>
      <c r="J10" s="444" cm="1">
        <f t="array" ref="J10">(0.0086*D9+3.04*(D10/1000)^1.23+0.53*D11+0.09*D12)*(_xlfn.IFS(D13=AC20,AD20,D13=AC21,AD21,D13=AC22,AD22,D13=AC23,AD23))</f>
        <v>11.207999580497914</v>
      </c>
      <c r="K10" s="397">
        <f>J10*100</f>
        <v>1120.7999580497915</v>
      </c>
      <c r="L10" s="397">
        <f>J10*100</f>
        <v>1120.7999580497915</v>
      </c>
      <c r="M10" s="397">
        <f>M11*H10</f>
        <v>-42.12</v>
      </c>
      <c r="N10" s="397">
        <f>5*D10*0.01</f>
        <v>47.5</v>
      </c>
      <c r="O10" s="399">
        <f>D10*0.01*3</f>
        <v>28.5</v>
      </c>
      <c r="Y10" s="161"/>
      <c r="AB10" s="555"/>
      <c r="AF10" s="549"/>
      <c r="AG10" s="549"/>
      <c r="AH10" s="549"/>
      <c r="AI10" s="549"/>
      <c r="AJ10" s="549"/>
      <c r="AK10" s="549"/>
      <c r="AL10" s="549"/>
      <c r="AM10" s="549"/>
    </row>
    <row r="11" spans="2:39" ht="14.4">
      <c r="B11" s="265" t="s">
        <v>330</v>
      </c>
      <c r="C11" s="390"/>
      <c r="D11" s="550">
        <v>3</v>
      </c>
      <c r="F11" s="517" t="s">
        <v>367</v>
      </c>
      <c r="G11" s="518"/>
      <c r="H11" s="344">
        <f t="shared" ref="H11" si="0">H10/$H$10</f>
        <v>1</v>
      </c>
      <c r="I11" s="347"/>
      <c r="J11" s="347">
        <f>J10/$H$10</f>
        <v>0.79829056841153234</v>
      </c>
      <c r="K11" s="345">
        <f>K10/$H$10</f>
        <v>79.829056841153246</v>
      </c>
      <c r="L11" s="345">
        <f>L10/$H$10</f>
        <v>79.829056841153246</v>
      </c>
      <c r="M11" s="345">
        <v>-3</v>
      </c>
      <c r="N11" s="346">
        <f>N10/$H$10</f>
        <v>3.3831908831908835</v>
      </c>
      <c r="O11" s="543">
        <f>O10/$H$10</f>
        <v>2.0299145299145303</v>
      </c>
      <c r="AB11" s="555"/>
      <c r="AC11" s="555"/>
      <c r="AD11" s="555"/>
      <c r="AE11" s="555"/>
      <c r="AF11" s="549"/>
      <c r="AG11" s="549"/>
      <c r="AH11" s="549"/>
      <c r="AI11" s="549"/>
      <c r="AJ11" s="549"/>
      <c r="AK11" s="549"/>
      <c r="AL11" s="549"/>
      <c r="AM11" s="549"/>
    </row>
    <row r="12" spans="2:39" ht="14.4">
      <c r="B12" s="265" t="s">
        <v>368</v>
      </c>
      <c r="C12" s="541"/>
      <c r="D12" s="550">
        <v>5</v>
      </c>
      <c r="AB12" s="555"/>
      <c r="AC12" s="555"/>
      <c r="AD12" s="555"/>
      <c r="AE12" s="555"/>
      <c r="AF12" s="549"/>
      <c r="AG12" s="549"/>
      <c r="AH12" s="549"/>
      <c r="AI12" s="549"/>
      <c r="AJ12" s="549"/>
      <c r="AK12" s="549"/>
      <c r="AL12" s="549"/>
      <c r="AM12" s="549"/>
    </row>
    <row r="13" spans="2:39" ht="14.4">
      <c r="B13" s="265" t="s">
        <v>369</v>
      </c>
      <c r="C13" s="541"/>
      <c r="D13" s="551" t="s">
        <v>370</v>
      </c>
      <c r="AB13" s="555"/>
      <c r="AF13" s="549"/>
      <c r="AG13" s="549"/>
      <c r="AH13" s="549"/>
      <c r="AI13" s="549"/>
      <c r="AJ13" s="549"/>
      <c r="AK13" s="549"/>
      <c r="AL13" s="549"/>
      <c r="AM13" s="549"/>
    </row>
    <row r="14" spans="2:39" ht="15" thickBot="1">
      <c r="B14" s="266" t="s">
        <v>289</v>
      </c>
      <c r="C14" s="542"/>
      <c r="D14" s="552">
        <v>6</v>
      </c>
      <c r="AB14" s="555"/>
      <c r="AF14" s="549"/>
      <c r="AG14" s="549"/>
      <c r="AH14" s="549"/>
      <c r="AI14" s="549"/>
      <c r="AJ14" s="549"/>
      <c r="AK14" s="549"/>
      <c r="AL14" s="549"/>
      <c r="AM14" s="549"/>
    </row>
    <row r="15" spans="2:39" ht="14.4">
      <c r="B15" s="553" t="s">
        <v>371</v>
      </c>
      <c r="AB15" s="555"/>
      <c r="AF15" s="549"/>
      <c r="AG15" s="549"/>
      <c r="AH15" s="549"/>
      <c r="AI15" s="549"/>
      <c r="AJ15" s="549"/>
      <c r="AK15" s="549"/>
      <c r="AL15" s="549"/>
      <c r="AM15" s="549"/>
    </row>
    <row r="16" spans="2:39" ht="15.6">
      <c r="B16" s="110" t="s">
        <v>186</v>
      </c>
      <c r="AB16" s="555"/>
      <c r="AF16" s="549"/>
      <c r="AG16" s="549"/>
      <c r="AH16" s="549"/>
      <c r="AI16" s="549"/>
      <c r="AJ16" s="549"/>
      <c r="AK16" s="549"/>
      <c r="AL16" s="549"/>
      <c r="AM16" s="549"/>
    </row>
    <row r="17" spans="1:50" ht="6.75" customHeight="1" thickBot="1">
      <c r="AB17" s="555"/>
      <c r="AF17" s="549"/>
      <c r="AG17" s="549"/>
      <c r="AH17" s="549"/>
      <c r="AI17" s="549"/>
      <c r="AJ17" s="549"/>
      <c r="AK17" s="549"/>
      <c r="AL17" s="549"/>
      <c r="AM17" s="549"/>
    </row>
    <row r="18" spans="1:50" s="132" customFormat="1" ht="31.5" customHeight="1">
      <c r="A18" s="384"/>
      <c r="B18" s="403" t="s">
        <v>40</v>
      </c>
      <c r="C18" s="246" t="s">
        <v>187</v>
      </c>
      <c r="D18" s="246" t="s">
        <v>188</v>
      </c>
      <c r="E18" s="246" t="s">
        <v>189</v>
      </c>
      <c r="F18" s="246" t="s">
        <v>190</v>
      </c>
      <c r="G18" s="246" t="s">
        <v>191</v>
      </c>
      <c r="H18" s="246" t="s">
        <v>47</v>
      </c>
      <c r="I18" s="246" t="s">
        <v>48</v>
      </c>
      <c r="J18" s="246" t="s">
        <v>49</v>
      </c>
      <c r="K18" s="246" t="s">
        <v>50</v>
      </c>
      <c r="L18" s="246" t="s">
        <v>51</v>
      </c>
      <c r="M18" s="246" t="s">
        <v>52</v>
      </c>
      <c r="N18" s="246" t="s">
        <v>192</v>
      </c>
      <c r="O18" s="246" t="s">
        <v>54</v>
      </c>
      <c r="P18" s="246" t="s">
        <v>193</v>
      </c>
      <c r="Q18" s="246" t="s">
        <v>56</v>
      </c>
      <c r="R18" s="246" t="s">
        <v>57</v>
      </c>
      <c r="S18" s="246" t="s">
        <v>59</v>
      </c>
      <c r="T18" s="131" t="s">
        <v>194</v>
      </c>
      <c r="AA18" s="299"/>
      <c r="AB18" s="555"/>
      <c r="AC18" s="299"/>
      <c r="AD18" s="299"/>
      <c r="AE18" s="299"/>
      <c r="AF18" s="549"/>
      <c r="AG18" s="549"/>
      <c r="AH18" s="549"/>
      <c r="AI18" s="549"/>
      <c r="AJ18" s="549"/>
      <c r="AK18" s="549"/>
      <c r="AL18" s="549"/>
      <c r="AM18" s="549"/>
      <c r="AN18" s="554"/>
      <c r="AO18" s="554"/>
      <c r="AP18" s="554"/>
      <c r="AQ18" s="554"/>
      <c r="AR18" s="554"/>
      <c r="AS18" s="554"/>
      <c r="AT18" s="554"/>
      <c r="AU18" s="554"/>
      <c r="AV18" s="554"/>
      <c r="AW18" s="554"/>
      <c r="AX18" s="554"/>
    </row>
    <row r="19" spans="1:50" ht="14.4">
      <c r="A19" s="432"/>
      <c r="B19" s="386"/>
      <c r="C19" s="89" t="str">
        <f>IF(ISBLANK(B19),"",INDEX('Liste des aliments'!$B$6:$B$966,MATCH(B19,'Liste des aliments'!$C$6:$C$966,0)))</f>
        <v/>
      </c>
      <c r="D19" s="135"/>
      <c r="E19" s="136"/>
      <c r="F19" s="7" t="str">
        <f>IF(ISBLANK($B19)," ",VLOOKUP($B19,'Liste des aliments'!$C$6:$W$966,2,FALSE))</f>
        <v xml:space="preserve"> </v>
      </c>
      <c r="G19" s="8" t="str">
        <f>IF(ISBLANK(B19)," ",(D19*E19/100))</f>
        <v xml:space="preserve"> </v>
      </c>
      <c r="H19" s="8" t="str">
        <f>IF(ISBLANK($B19)," ",VLOOKUP($B19,'Liste des aliments'!$C$6:$W$966,8,FALSE))</f>
        <v xml:space="preserve"> </v>
      </c>
      <c r="I19" s="9" t="str">
        <f>IF(ISBLANK($B19)," ",VLOOKUP($B19,'Liste des aliments'!$C$6:$W$966,9,FALSE))</f>
        <v xml:space="preserve"> </v>
      </c>
      <c r="J19" s="9" t="str">
        <f>IF(ISBLANK($B19)," ",VLOOKUP($B19,'Liste des aliments'!$C$6:$W$966,10,FALSE))</f>
        <v xml:space="preserve"> </v>
      </c>
      <c r="K19" s="9" t="str">
        <f>IF(ISBLANK($B19)," ",VLOOKUP($B19,'Liste des aliments'!$C$6:$W$966,11,FALSE))</f>
        <v xml:space="preserve"> </v>
      </c>
      <c r="L19" s="7" t="str">
        <f>IF(ISBLANK($B19)," ",VLOOKUP($B19,'Liste des aliments'!$C$6:$W$966,12,FALSE))</f>
        <v xml:space="preserve"> </v>
      </c>
      <c r="M19" s="7" t="str">
        <f>IF(ISBLANK($B19)," ",VLOOKUP($B19,'Liste des aliments'!$C$6:$W$966,13,FALSE))</f>
        <v xml:space="preserve"> </v>
      </c>
      <c r="N19" s="9" t="str">
        <f>IF(ISBLANK($B19)," ",VLOOKUP($B19,'Liste des aliments'!$C$6:$W$966,14,FALSE))</f>
        <v xml:space="preserve"> </v>
      </c>
      <c r="O19" s="9" t="str">
        <f>IF(ISBLANK($B19)," ",VLOOKUP($B19,'Liste des aliments'!$C$6:$W$966,15,FALSE))</f>
        <v xml:space="preserve"> </v>
      </c>
      <c r="P19" s="9" t="str">
        <f>IF(ISBLANK($B19)," ",VLOOKUP($B19,'Liste des aliments'!$C$6:$W$966,16,FALSE))</f>
        <v xml:space="preserve"> </v>
      </c>
      <c r="Q19" s="9" t="str">
        <f>IF(ISBLANK($B19)," ",VLOOKUP($B19,'Liste des aliments'!$C$6:$W$966,17,FALSE))</f>
        <v xml:space="preserve"> </v>
      </c>
      <c r="R19" s="9" t="str">
        <f>IF(ISBLANK($B19)," ",VLOOKUP($B19,'Liste des aliments'!$C$6:$W$966,18,FALSE))</f>
        <v xml:space="preserve"> </v>
      </c>
      <c r="S19" s="9" t="str">
        <f>IF(ISBLANK($B19)," ",VLOOKUP($B19,'Liste des aliments'!$C$6:$W$966,20,FALSE))</f>
        <v xml:space="preserve"> </v>
      </c>
      <c r="T19" s="107"/>
      <c r="AB19" s="410" t="s">
        <v>330</v>
      </c>
      <c r="AC19" s="410" t="s">
        <v>372</v>
      </c>
      <c r="AD19" s="410" t="s">
        <v>373</v>
      </c>
      <c r="AE19" s="410" t="s">
        <v>374</v>
      </c>
      <c r="AF19" s="549"/>
      <c r="AG19" s="549"/>
      <c r="AH19" s="549"/>
      <c r="AI19" s="549"/>
      <c r="AJ19" s="549"/>
      <c r="AK19" s="549"/>
      <c r="AL19" s="549"/>
      <c r="AM19" s="549"/>
    </row>
    <row r="20" spans="1:50" ht="14.4">
      <c r="A20" s="432"/>
      <c r="B20" s="387"/>
      <c r="C20" s="89" t="str">
        <f>IF(ISBLANK(B20),"",INDEX('Liste des aliments'!$B$6:$B$966,MATCH(B20,'Liste des aliments'!$C$6:$C$966,0)))</f>
        <v/>
      </c>
      <c r="D20" s="138"/>
      <c r="E20" s="139"/>
      <c r="F20" s="13" t="str">
        <f>IF(ISBLANK($B20)," ",VLOOKUP($B20,'Liste des aliments'!$C$6:$W$966,2,FALSE))</f>
        <v xml:space="preserve"> </v>
      </c>
      <c r="G20" s="14" t="str">
        <f t="shared" ref="G20:G34" si="1">IF(ISBLANK(B20)," ",(D20*E20/100))</f>
        <v xml:space="preserve"> </v>
      </c>
      <c r="H20" s="14" t="str">
        <f>IF(ISBLANK($B20)," ",VLOOKUP($B20,'Liste des aliments'!$C$6:$W$966,8,FALSE))</f>
        <v xml:space="preserve"> </v>
      </c>
      <c r="I20" s="12" t="str">
        <f>IF(ISBLANK($B20)," ",VLOOKUP($B20,'Liste des aliments'!$C$6:$W$966,9,FALSE))</f>
        <v xml:space="preserve"> </v>
      </c>
      <c r="J20" s="12" t="str">
        <f>IF(ISBLANK($B20)," ",VLOOKUP($B20,'Liste des aliments'!$C$6:$W$966,10,FALSE))</f>
        <v xml:space="preserve"> </v>
      </c>
      <c r="K20" s="12" t="str">
        <f>IF(ISBLANK($B20)," ",VLOOKUP($B20,'Liste des aliments'!$C$6:$W$966,11,FALSE))</f>
        <v xml:space="preserve"> </v>
      </c>
      <c r="L20" s="13" t="str">
        <f>IF(ISBLANK($B20)," ",VLOOKUP($B20,'Liste des aliments'!$C$6:$W$966,12,FALSE))</f>
        <v xml:space="preserve"> </v>
      </c>
      <c r="M20" s="13" t="str">
        <f>IF(ISBLANK($B20)," ",VLOOKUP($B20,'Liste des aliments'!$C$6:$W$966,13,FALSE))</f>
        <v xml:space="preserve"> </v>
      </c>
      <c r="N20" s="12" t="str">
        <f>IF(ISBLANK($B20)," ",VLOOKUP($B20,'Liste des aliments'!$C$6:$W$966,14,FALSE))</f>
        <v xml:space="preserve"> </v>
      </c>
      <c r="O20" s="12" t="str">
        <f>IF(ISBLANK($B20)," ",VLOOKUP($B20,'Liste des aliments'!$C$6:$W$966,15,FALSE))</f>
        <v xml:space="preserve"> </v>
      </c>
      <c r="P20" s="12" t="str">
        <f>IF(ISBLANK($B20)," ",VLOOKUP($B20,'Liste des aliments'!$C$6:$W$966,16,FALSE))</f>
        <v xml:space="preserve"> </v>
      </c>
      <c r="Q20" s="12" t="str">
        <f>IF(ISBLANK($B20)," ",VLOOKUP($B20,'Liste des aliments'!$C$6:$W$966,17,FALSE))</f>
        <v xml:space="preserve"> </v>
      </c>
      <c r="R20" s="12" t="str">
        <f>IF(ISBLANK($B20)," ",VLOOKUP($B20,'Liste des aliments'!$C$6:$W$966,18,FALSE))</f>
        <v xml:space="preserve"> </v>
      </c>
      <c r="S20" s="12" t="str">
        <f>IF(ISBLANK($B20)," ",VLOOKUP($B20,'Liste des aliments'!$C$6:$W$966,20,FALSE))</f>
        <v xml:space="preserve"> </v>
      </c>
      <c r="T20" s="107"/>
      <c r="AB20" s="555">
        <v>0.5</v>
      </c>
      <c r="AC20" s="555" t="s">
        <v>375</v>
      </c>
      <c r="AD20" s="555">
        <v>1.042</v>
      </c>
      <c r="AE20" s="555">
        <v>2</v>
      </c>
      <c r="AF20" s="549"/>
      <c r="AG20" s="549"/>
      <c r="AH20" s="549"/>
      <c r="AI20" s="549"/>
      <c r="AJ20" s="549"/>
      <c r="AK20" s="549"/>
      <c r="AL20" s="549"/>
      <c r="AM20" s="549"/>
    </row>
    <row r="21" spans="1:50" ht="14.4">
      <c r="A21" s="432"/>
      <c r="B21" s="387"/>
      <c r="C21" s="89" t="str">
        <f>IF(ISBLANK(B21),"",INDEX('Liste des aliments'!$B$6:$B$966,MATCH(B21,'Liste des aliments'!$C$6:$C$966,0)))</f>
        <v/>
      </c>
      <c r="D21" s="138"/>
      <c r="E21" s="139"/>
      <c r="F21" s="13" t="str">
        <f>IF(ISBLANK($B21)," ",VLOOKUP($B21,'Liste des aliments'!$C$6:$W$966,2,FALSE))</f>
        <v xml:space="preserve"> </v>
      </c>
      <c r="G21" s="14" t="str">
        <f t="shared" si="1"/>
        <v xml:space="preserve"> </v>
      </c>
      <c r="H21" s="14" t="str">
        <f>IF(ISBLANK($B21)," ",VLOOKUP($B21,'Liste des aliments'!$C$6:$W$966,8,FALSE))</f>
        <v xml:space="preserve"> </v>
      </c>
      <c r="I21" s="12" t="str">
        <f>IF(ISBLANK($B21)," ",VLOOKUP($B21,'Liste des aliments'!$C$6:$W$966,9,FALSE))</f>
        <v xml:space="preserve"> </v>
      </c>
      <c r="J21" s="12" t="str">
        <f>IF(ISBLANK($B21)," ",VLOOKUP($B21,'Liste des aliments'!$C$6:$W$966,10,FALSE))</f>
        <v xml:space="preserve"> </v>
      </c>
      <c r="K21" s="12" t="str">
        <f>IF(ISBLANK($B21)," ",VLOOKUP($B21,'Liste des aliments'!$C$6:$W$966,11,FALSE))</f>
        <v xml:space="preserve"> </v>
      </c>
      <c r="L21" s="13" t="str">
        <f>IF(ISBLANK($B21)," ",VLOOKUP($B21,'Liste des aliments'!$C$6:$W$966,12,FALSE))</f>
        <v xml:space="preserve"> </v>
      </c>
      <c r="M21" s="13" t="str">
        <f>IF(ISBLANK($B21)," ",VLOOKUP($B21,'Liste des aliments'!$C$6:$W$966,13,FALSE))</f>
        <v xml:space="preserve"> </v>
      </c>
      <c r="N21" s="12" t="str">
        <f>IF(ISBLANK($B21)," ",VLOOKUP($B21,'Liste des aliments'!$C$6:$W$966,14,FALSE))</f>
        <v xml:space="preserve"> </v>
      </c>
      <c r="O21" s="12" t="str">
        <f>IF(ISBLANK($B21)," ",VLOOKUP($B21,'Liste des aliments'!$C$6:$W$966,15,FALSE))</f>
        <v xml:space="preserve"> </v>
      </c>
      <c r="P21" s="12" t="str">
        <f>IF(ISBLANK($B21)," ",VLOOKUP($B21,'Liste des aliments'!$C$6:$W$966,16,FALSE))</f>
        <v xml:space="preserve"> </v>
      </c>
      <c r="Q21" s="12" t="str">
        <f>IF(ISBLANK($B21)," ",VLOOKUP($B21,'Liste des aliments'!$C$6:$W$966,17,FALSE))</f>
        <v xml:space="preserve"> </v>
      </c>
      <c r="R21" s="12" t="str">
        <f>IF(ISBLANK($B21)," ",VLOOKUP($B21,'Liste des aliments'!$C$6:$W$966,18,FALSE))</f>
        <v xml:space="preserve"> </v>
      </c>
      <c r="S21" s="12" t="str">
        <f>IF(ISBLANK($B21)," ",VLOOKUP($B21,'Liste des aliments'!$C$6:$W$966,20,FALSE))</f>
        <v xml:space="preserve"> </v>
      </c>
      <c r="T21" s="107"/>
      <c r="AB21" s="555">
        <v>1</v>
      </c>
      <c r="AC21" s="555" t="s">
        <v>376</v>
      </c>
      <c r="AD21" s="555">
        <v>1.012</v>
      </c>
      <c r="AE21" s="555">
        <v>3</v>
      </c>
      <c r="AF21" s="549"/>
      <c r="AG21" s="549"/>
      <c r="AH21" s="549"/>
      <c r="AI21" s="549"/>
      <c r="AJ21" s="549"/>
      <c r="AK21" s="549"/>
      <c r="AL21" s="549"/>
      <c r="AM21" s="549"/>
    </row>
    <row r="22" spans="1:50" ht="15.6">
      <c r="A22" s="432"/>
      <c r="B22" s="387"/>
      <c r="C22" s="89" t="str">
        <f>IF(ISBLANK(B22),"",INDEX('Liste des aliments'!$B$6:$B$966,MATCH(B22,'Liste des aliments'!$C$6:$C$966,0)))</f>
        <v/>
      </c>
      <c r="D22" s="138"/>
      <c r="E22" s="139"/>
      <c r="F22" s="13" t="str">
        <f>IF(ISBLANK($B22)," ",VLOOKUP($B22,'Liste des aliments'!$C$6:$W$966,2,FALSE))</f>
        <v xml:space="preserve"> </v>
      </c>
      <c r="G22" s="14" t="str">
        <f t="shared" si="1"/>
        <v xml:space="preserve"> </v>
      </c>
      <c r="H22" s="14" t="str">
        <f>IF(ISBLANK($B22)," ",VLOOKUP($B22,'Liste des aliments'!$C$6:$W$966,8,FALSE))</f>
        <v xml:space="preserve"> </v>
      </c>
      <c r="I22" s="12" t="str">
        <f>IF(ISBLANK($B22)," ",VLOOKUP($B22,'Liste des aliments'!$C$6:$W$966,9,FALSE))</f>
        <v xml:space="preserve"> </v>
      </c>
      <c r="J22" s="12" t="str">
        <f>IF(ISBLANK($B22)," ",VLOOKUP($B22,'Liste des aliments'!$C$6:$W$966,10,FALSE))</f>
        <v xml:space="preserve"> </v>
      </c>
      <c r="K22" s="12" t="str">
        <f>IF(ISBLANK($B22)," ",VLOOKUP($B22,'Liste des aliments'!$C$6:$W$966,11,FALSE))</f>
        <v xml:space="preserve"> </v>
      </c>
      <c r="L22" s="13" t="str">
        <f>IF(ISBLANK($B22)," ",VLOOKUP($B22,'Liste des aliments'!$C$6:$W$966,12,FALSE))</f>
        <v xml:space="preserve"> </v>
      </c>
      <c r="M22" s="13" t="str">
        <f>IF(ISBLANK($B22)," ",VLOOKUP($B22,'Liste des aliments'!$C$6:$W$966,13,FALSE))</f>
        <v xml:space="preserve"> </v>
      </c>
      <c r="N22" s="12" t="str">
        <f>IF(ISBLANK($B22)," ",VLOOKUP($B22,'Liste des aliments'!$C$6:$W$966,14,FALSE))</f>
        <v xml:space="preserve"> </v>
      </c>
      <c r="O22" s="12" t="str">
        <f>IF(ISBLANK($B22)," ",VLOOKUP($B22,'Liste des aliments'!$C$6:$W$966,15,FALSE))</f>
        <v xml:space="preserve"> </v>
      </c>
      <c r="P22" s="12" t="str">
        <f>IF(ISBLANK($B22)," ",VLOOKUP($B22,'Liste des aliments'!$C$6:$W$966,16,FALSE))</f>
        <v xml:space="preserve"> </v>
      </c>
      <c r="Q22" s="12" t="str">
        <f>IF(ISBLANK($B22)," ",VLOOKUP($B22,'Liste des aliments'!$C$6:$W$966,17,FALSE))</f>
        <v xml:space="preserve"> </v>
      </c>
      <c r="R22" s="12" t="str">
        <f>IF(ISBLANK($B22)," ",VLOOKUP($B22,'Liste des aliments'!$C$6:$W$966,18,FALSE))</f>
        <v xml:space="preserve"> </v>
      </c>
      <c r="S22" s="12" t="str">
        <f>IF(ISBLANK($B22)," ",VLOOKUP($B22,'Liste des aliments'!$C$6:$W$966,20,FALSE))</f>
        <v xml:space="preserve"> </v>
      </c>
      <c r="T22" s="107"/>
      <c r="Z22" s="141"/>
      <c r="AB22" s="555">
        <v>1.5</v>
      </c>
      <c r="AC22" s="555" t="s">
        <v>377</v>
      </c>
      <c r="AD22" s="555">
        <v>0.996</v>
      </c>
      <c r="AE22" s="555">
        <v>4</v>
      </c>
      <c r="AF22" s="549"/>
      <c r="AG22" s="549"/>
      <c r="AH22" s="549"/>
      <c r="AI22" s="549"/>
      <c r="AJ22" s="549"/>
      <c r="AK22" s="549"/>
      <c r="AL22" s="549"/>
      <c r="AM22" s="549"/>
    </row>
    <row r="23" spans="1:50" ht="14.4">
      <c r="A23" s="432"/>
      <c r="B23" s="387"/>
      <c r="C23" s="89" t="str">
        <f>IF(ISBLANK(B23),"",INDEX('Liste des aliments'!$B$6:$B$966,MATCH(B23,'Liste des aliments'!$C$6:$C$966,0)))</f>
        <v/>
      </c>
      <c r="D23" s="138"/>
      <c r="E23" s="139"/>
      <c r="F23" s="13" t="str">
        <f>IF(ISBLANK($B23)," ",VLOOKUP($B23,'Liste des aliments'!$C$6:$W$966,2,FALSE))</f>
        <v xml:space="preserve"> </v>
      </c>
      <c r="G23" s="14" t="str">
        <f t="shared" si="1"/>
        <v xml:space="preserve"> </v>
      </c>
      <c r="H23" s="14" t="str">
        <f>IF(ISBLANK($B23)," ",VLOOKUP($B23,'Liste des aliments'!$C$6:$W$966,8,FALSE))</f>
        <v xml:space="preserve"> </v>
      </c>
      <c r="I23" s="12" t="str">
        <f>IF(ISBLANK($B23)," ",VLOOKUP($B23,'Liste des aliments'!$C$6:$W$966,9,FALSE))</f>
        <v xml:space="preserve"> </v>
      </c>
      <c r="J23" s="12" t="str">
        <f>IF(ISBLANK($B23)," ",VLOOKUP($B23,'Liste des aliments'!$C$6:$W$966,10,FALSE))</f>
        <v xml:space="preserve"> </v>
      </c>
      <c r="K23" s="12" t="str">
        <f>IF(ISBLANK($B23)," ",VLOOKUP($B23,'Liste des aliments'!$C$6:$W$966,11,FALSE))</f>
        <v xml:space="preserve"> </v>
      </c>
      <c r="L23" s="13" t="str">
        <f>IF(ISBLANK($B23)," ",VLOOKUP($B23,'Liste des aliments'!$C$6:$W$966,12,FALSE))</f>
        <v xml:space="preserve"> </v>
      </c>
      <c r="M23" s="13" t="str">
        <f>IF(ISBLANK($B23)," ",VLOOKUP($B23,'Liste des aliments'!$C$6:$W$966,13,FALSE))</f>
        <v xml:space="preserve"> </v>
      </c>
      <c r="N23" s="12" t="str">
        <f>IF(ISBLANK($B23)," ",VLOOKUP($B23,'Liste des aliments'!$C$6:$W$966,14,FALSE))</f>
        <v xml:space="preserve"> </v>
      </c>
      <c r="O23" s="12" t="str">
        <f>IF(ISBLANK($B23)," ",VLOOKUP($B23,'Liste des aliments'!$C$6:$W$966,15,FALSE))</f>
        <v xml:space="preserve"> </v>
      </c>
      <c r="P23" s="12" t="str">
        <f>IF(ISBLANK($B23)," ",VLOOKUP($B23,'Liste des aliments'!$C$6:$W$966,16,FALSE))</f>
        <v xml:space="preserve"> </v>
      </c>
      <c r="Q23" s="12" t="str">
        <f>IF(ISBLANK($B23)," ",VLOOKUP($B23,'Liste des aliments'!$C$6:$W$966,17,FALSE))</f>
        <v xml:space="preserve"> </v>
      </c>
      <c r="R23" s="12" t="str">
        <f>IF(ISBLANK($B23)," ",VLOOKUP($B23,'Liste des aliments'!$C$6:$W$966,18,FALSE))</f>
        <v xml:space="preserve"> </v>
      </c>
      <c r="S23" s="12" t="str">
        <f>IF(ISBLANK($B23)," ",VLOOKUP($B23,'Liste des aliments'!$C$6:$W$966,20,FALSE))</f>
        <v xml:space="preserve"> </v>
      </c>
      <c r="T23" s="107"/>
      <c r="Z23" s="300"/>
      <c r="AB23" s="555">
        <v>2</v>
      </c>
      <c r="AC23" s="555" t="s">
        <v>370</v>
      </c>
      <c r="AD23" s="555">
        <v>0.98799999999999999</v>
      </c>
      <c r="AE23" s="555">
        <v>5</v>
      </c>
      <c r="AF23" s="549"/>
      <c r="AG23" s="549"/>
      <c r="AH23" s="549"/>
      <c r="AI23" s="549"/>
      <c r="AJ23" s="549"/>
      <c r="AK23" s="549"/>
      <c r="AL23" s="549"/>
      <c r="AM23" s="549"/>
    </row>
    <row r="24" spans="1:50" ht="14.4">
      <c r="A24" s="432"/>
      <c r="B24" s="387"/>
      <c r="C24" s="89" t="str">
        <f>IF(ISBLANK(B24),"",INDEX('Liste des aliments'!$B$6:$B$966,MATCH(B24,'Liste des aliments'!$C$6:$C$966,0)))</f>
        <v/>
      </c>
      <c r="D24" s="138"/>
      <c r="E24" s="139"/>
      <c r="F24" s="13" t="str">
        <f>IF(ISBLANK($B24)," ",VLOOKUP($B24,'Liste des aliments'!$C$6:$W$966,2,FALSE))</f>
        <v xml:space="preserve"> </v>
      </c>
      <c r="G24" s="14" t="str">
        <f t="shared" si="1"/>
        <v xml:space="preserve"> </v>
      </c>
      <c r="H24" s="14" t="str">
        <f>IF(ISBLANK($B24)," ",VLOOKUP($B24,'Liste des aliments'!$C$6:$W$966,8,FALSE))</f>
        <v xml:space="preserve"> </v>
      </c>
      <c r="I24" s="12" t="str">
        <f>IF(ISBLANK($B24)," ",VLOOKUP($B24,'Liste des aliments'!$C$6:$W$966,9,FALSE))</f>
        <v xml:space="preserve"> </v>
      </c>
      <c r="J24" s="12" t="str">
        <f>IF(ISBLANK($B24)," ",VLOOKUP($B24,'Liste des aliments'!$C$6:$W$966,10,FALSE))</f>
        <v xml:space="preserve"> </v>
      </c>
      <c r="K24" s="12" t="str">
        <f>IF(ISBLANK($B24)," ",VLOOKUP($B24,'Liste des aliments'!$C$6:$W$966,11,FALSE))</f>
        <v xml:space="preserve"> </v>
      </c>
      <c r="L24" s="13" t="str">
        <f>IF(ISBLANK($B24)," ",VLOOKUP($B24,'Liste des aliments'!$C$6:$W$966,12,FALSE))</f>
        <v xml:space="preserve"> </v>
      </c>
      <c r="M24" s="13" t="str">
        <f>IF(ISBLANK($B24)," ",VLOOKUP($B24,'Liste des aliments'!$C$6:$W$966,13,FALSE))</f>
        <v xml:space="preserve"> </v>
      </c>
      <c r="N24" s="12" t="str">
        <f>IF(ISBLANK($B24)," ",VLOOKUP($B24,'Liste des aliments'!$C$6:$W$966,14,FALSE))</f>
        <v xml:space="preserve"> </v>
      </c>
      <c r="O24" s="12" t="str">
        <f>IF(ISBLANK($B24)," ",VLOOKUP($B24,'Liste des aliments'!$C$6:$W$966,15,FALSE))</f>
        <v xml:space="preserve"> </v>
      </c>
      <c r="P24" s="12" t="str">
        <f>IF(ISBLANK($B24)," ",VLOOKUP($B24,'Liste des aliments'!$C$6:$W$966,16,FALSE))</f>
        <v xml:space="preserve"> </v>
      </c>
      <c r="Q24" s="12" t="str">
        <f>IF(ISBLANK($B24)," ",VLOOKUP($B24,'Liste des aliments'!$C$6:$W$966,17,FALSE))</f>
        <v xml:space="preserve"> </v>
      </c>
      <c r="R24" s="12" t="str">
        <f>IF(ISBLANK($B24)," ",VLOOKUP($B24,'Liste des aliments'!$C$6:$W$966,18,FALSE))</f>
        <v xml:space="preserve"> </v>
      </c>
      <c r="S24" s="12" t="str">
        <f>IF(ISBLANK($B24)," ",VLOOKUP($B24,'Liste des aliments'!$C$6:$W$966,20,FALSE))</f>
        <v xml:space="preserve"> </v>
      </c>
      <c r="T24" s="107"/>
      <c r="AB24" s="555">
        <v>2.5</v>
      </c>
      <c r="AC24" s="555"/>
      <c r="AD24" s="555"/>
      <c r="AE24" s="555">
        <v>6</v>
      </c>
      <c r="AF24" s="549"/>
      <c r="AG24" s="549"/>
      <c r="AH24" s="549"/>
      <c r="AI24" s="549"/>
      <c r="AJ24" s="549"/>
      <c r="AK24" s="549"/>
      <c r="AL24" s="549"/>
      <c r="AM24" s="549"/>
    </row>
    <row r="25" spans="1:50" ht="14.4">
      <c r="A25" s="432"/>
      <c r="B25" s="387"/>
      <c r="C25" s="89" t="str">
        <f>IF(ISBLANK(B25),"",INDEX('Liste des aliments'!$B$6:$B$966,MATCH(B25,'Liste des aliments'!$C$6:$C$966,0)))</f>
        <v/>
      </c>
      <c r="D25" s="138"/>
      <c r="E25" s="139"/>
      <c r="F25" s="13" t="str">
        <f>IF(ISBLANK($B25)," ",VLOOKUP($B25,'Liste des aliments'!$C$6:$W$966,2,FALSE))</f>
        <v xml:space="preserve"> </v>
      </c>
      <c r="G25" s="14" t="str">
        <f t="shared" si="1"/>
        <v xml:space="preserve"> </v>
      </c>
      <c r="H25" s="14" t="str">
        <f>IF(ISBLANK($B25)," ",VLOOKUP($B25,'Liste des aliments'!$C$6:$W$966,8,FALSE))</f>
        <v xml:space="preserve"> </v>
      </c>
      <c r="I25" s="12" t="str">
        <f>IF(ISBLANK($B25)," ",VLOOKUP($B25,'Liste des aliments'!$C$6:$W$966,9,FALSE))</f>
        <v xml:space="preserve"> </v>
      </c>
      <c r="J25" s="12" t="str">
        <f>IF(ISBLANK($B25)," ",VLOOKUP($B25,'Liste des aliments'!$C$6:$W$966,10,FALSE))</f>
        <v xml:space="preserve"> </v>
      </c>
      <c r="K25" s="12" t="str">
        <f>IF(ISBLANK($B25)," ",VLOOKUP($B25,'Liste des aliments'!$C$6:$W$966,11,FALSE))</f>
        <v xml:space="preserve"> </v>
      </c>
      <c r="L25" s="13" t="str">
        <f>IF(ISBLANK($B25)," ",VLOOKUP($B25,'Liste des aliments'!$C$6:$W$966,12,FALSE))</f>
        <v xml:space="preserve"> </v>
      </c>
      <c r="M25" s="13" t="str">
        <f>IF(ISBLANK($B25)," ",VLOOKUP($B25,'Liste des aliments'!$C$6:$W$966,13,FALSE))</f>
        <v xml:space="preserve"> </v>
      </c>
      <c r="N25" s="12" t="str">
        <f>IF(ISBLANK($B25)," ",VLOOKUP($B25,'Liste des aliments'!$C$6:$W$966,14,FALSE))</f>
        <v xml:space="preserve"> </v>
      </c>
      <c r="O25" s="12" t="str">
        <f>IF(ISBLANK($B25)," ",VLOOKUP($B25,'Liste des aliments'!$C$6:$W$966,15,FALSE))</f>
        <v xml:space="preserve"> </v>
      </c>
      <c r="P25" s="12" t="str">
        <f>IF(ISBLANK($B25)," ",VLOOKUP($B25,'Liste des aliments'!$C$6:$W$966,16,FALSE))</f>
        <v xml:space="preserve"> </v>
      </c>
      <c r="Q25" s="12" t="str">
        <f>IF(ISBLANK($B25)," ",VLOOKUP($B25,'Liste des aliments'!$C$6:$W$966,17,FALSE))</f>
        <v xml:space="preserve"> </v>
      </c>
      <c r="R25" s="12" t="str">
        <f>IF(ISBLANK($B25)," ",VLOOKUP($B25,'Liste des aliments'!$C$6:$W$966,18,FALSE))</f>
        <v xml:space="preserve"> </v>
      </c>
      <c r="S25" s="12" t="str">
        <f>IF(ISBLANK($B25)," ",VLOOKUP($B25,'Liste des aliments'!$C$6:$W$966,20,FALSE))</f>
        <v xml:space="preserve"> </v>
      </c>
      <c r="T25" s="107"/>
      <c r="AB25" s="555">
        <v>3</v>
      </c>
      <c r="AC25" s="555"/>
      <c r="AD25" s="555"/>
      <c r="AE25" s="555">
        <v>7</v>
      </c>
      <c r="AF25" s="549"/>
      <c r="AG25" s="549"/>
      <c r="AH25" s="549"/>
      <c r="AI25" s="549"/>
      <c r="AJ25" s="549"/>
      <c r="AK25" s="549"/>
      <c r="AL25" s="549"/>
      <c r="AM25" s="549"/>
    </row>
    <row r="26" spans="1:50" ht="14.4">
      <c r="A26" s="432"/>
      <c r="B26" s="387"/>
      <c r="C26" s="89" t="str">
        <f>IF(ISBLANK(B26),"",INDEX('Liste des aliments'!$B$6:$B$966,MATCH(B26,'Liste des aliments'!$C$6:$C$966,0)))</f>
        <v/>
      </c>
      <c r="D26" s="138"/>
      <c r="E26" s="139"/>
      <c r="F26" s="13" t="str">
        <f>IF(ISBLANK($B26)," ",VLOOKUP($B26,'Liste des aliments'!$C$6:$W$966,2,FALSE))</f>
        <v xml:space="preserve"> </v>
      </c>
      <c r="G26" s="14" t="str">
        <f t="shared" si="1"/>
        <v xml:space="preserve"> </v>
      </c>
      <c r="H26" s="14" t="str">
        <f>IF(ISBLANK($B26)," ",VLOOKUP($B26,'Liste des aliments'!$C$6:$W$966,8,FALSE))</f>
        <v xml:space="preserve"> </v>
      </c>
      <c r="I26" s="12" t="str">
        <f>IF(ISBLANK($B26)," ",VLOOKUP($B26,'Liste des aliments'!$C$6:$W$966,9,FALSE))</f>
        <v xml:space="preserve"> </v>
      </c>
      <c r="J26" s="12" t="str">
        <f>IF(ISBLANK($B26)," ",VLOOKUP($B26,'Liste des aliments'!$C$6:$W$966,10,FALSE))</f>
        <v xml:space="preserve"> </v>
      </c>
      <c r="K26" s="12" t="str">
        <f>IF(ISBLANK($B26)," ",VLOOKUP($B26,'Liste des aliments'!$C$6:$W$966,11,FALSE))</f>
        <v xml:space="preserve"> </v>
      </c>
      <c r="L26" s="13" t="str">
        <f>IF(ISBLANK($B26)," ",VLOOKUP($B26,'Liste des aliments'!$C$6:$W$966,12,FALSE))</f>
        <v xml:space="preserve"> </v>
      </c>
      <c r="M26" s="13" t="str">
        <f>IF(ISBLANK($B26)," ",VLOOKUP($B26,'Liste des aliments'!$C$6:$W$966,13,FALSE))</f>
        <v xml:space="preserve"> </v>
      </c>
      <c r="N26" s="12" t="str">
        <f>IF(ISBLANK($B26)," ",VLOOKUP($B26,'Liste des aliments'!$C$6:$W$966,14,FALSE))</f>
        <v xml:space="preserve"> </v>
      </c>
      <c r="O26" s="12" t="str">
        <f>IF(ISBLANK($B26)," ",VLOOKUP($B26,'Liste des aliments'!$C$6:$W$966,15,FALSE))</f>
        <v xml:space="preserve"> </v>
      </c>
      <c r="P26" s="12" t="str">
        <f>IF(ISBLANK($B26)," ",VLOOKUP($B26,'Liste des aliments'!$C$6:$W$966,16,FALSE))</f>
        <v xml:space="preserve"> </v>
      </c>
      <c r="Q26" s="12" t="str">
        <f>IF(ISBLANK($B26)," ",VLOOKUP($B26,'Liste des aliments'!$C$6:$W$966,17,FALSE))</f>
        <v xml:space="preserve"> </v>
      </c>
      <c r="R26" s="12" t="str">
        <f>IF(ISBLANK($B26)," ",VLOOKUP($B26,'Liste des aliments'!$C$6:$W$966,18,FALSE))</f>
        <v xml:space="preserve"> </v>
      </c>
      <c r="S26" s="12" t="str">
        <f>IF(ISBLANK($B26)," ",VLOOKUP($B26,'Liste des aliments'!$C$6:$W$966,20,FALSE))</f>
        <v xml:space="preserve"> </v>
      </c>
      <c r="T26" s="107"/>
      <c r="AB26" s="555">
        <v>3.5</v>
      </c>
      <c r="AC26" s="555"/>
      <c r="AD26" s="555"/>
      <c r="AE26" s="555">
        <v>8</v>
      </c>
      <c r="AF26" s="549"/>
      <c r="AG26" s="549"/>
      <c r="AH26" s="549"/>
      <c r="AI26" s="549"/>
      <c r="AJ26" s="549"/>
      <c r="AK26" s="549"/>
      <c r="AL26" s="549"/>
      <c r="AM26" s="549"/>
    </row>
    <row r="27" spans="1:50" ht="14.4">
      <c r="A27" s="432"/>
      <c r="B27" s="387"/>
      <c r="C27" s="89" t="str">
        <f>IF(ISBLANK(B27),"",INDEX('Liste des aliments'!$B$6:$B$966,MATCH(B27,'Liste des aliments'!$C$6:$C$966,0)))</f>
        <v/>
      </c>
      <c r="D27" s="138"/>
      <c r="E27" s="139"/>
      <c r="F27" s="13" t="str">
        <f>IF(ISBLANK($B27)," ",VLOOKUP($B27,'Liste des aliments'!$C$6:$W$966,2,FALSE))</f>
        <v xml:space="preserve"> </v>
      </c>
      <c r="G27" s="14" t="str">
        <f t="shared" si="1"/>
        <v xml:space="preserve"> </v>
      </c>
      <c r="H27" s="14" t="str">
        <f>IF(ISBLANK($B27)," ",VLOOKUP($B27,'Liste des aliments'!$C$6:$W$966,8,FALSE))</f>
        <v xml:space="preserve"> </v>
      </c>
      <c r="I27" s="12" t="str">
        <f>IF(ISBLANK($B27)," ",VLOOKUP($B27,'Liste des aliments'!$C$6:$W$966,9,FALSE))</f>
        <v xml:space="preserve"> </v>
      </c>
      <c r="J27" s="12" t="str">
        <f>IF(ISBLANK($B27)," ",VLOOKUP($B27,'Liste des aliments'!$C$6:$W$966,10,FALSE))</f>
        <v xml:space="preserve"> </v>
      </c>
      <c r="K27" s="12" t="str">
        <f>IF(ISBLANK($B27)," ",VLOOKUP($B27,'Liste des aliments'!$C$6:$W$966,11,FALSE))</f>
        <v xml:space="preserve"> </v>
      </c>
      <c r="L27" s="13" t="str">
        <f>IF(ISBLANK($B27)," ",VLOOKUP($B27,'Liste des aliments'!$C$6:$W$966,12,FALSE))</f>
        <v xml:space="preserve"> </v>
      </c>
      <c r="M27" s="13" t="str">
        <f>IF(ISBLANK($B27)," ",VLOOKUP($B27,'Liste des aliments'!$C$6:$W$966,13,FALSE))</f>
        <v xml:space="preserve"> </v>
      </c>
      <c r="N27" s="12" t="str">
        <f>IF(ISBLANK($B27)," ",VLOOKUP($B27,'Liste des aliments'!$C$6:$W$966,14,FALSE))</f>
        <v xml:space="preserve"> </v>
      </c>
      <c r="O27" s="12" t="str">
        <f>IF(ISBLANK($B27)," ",VLOOKUP($B27,'Liste des aliments'!$C$6:$W$966,15,FALSE))</f>
        <v xml:space="preserve"> </v>
      </c>
      <c r="P27" s="12" t="str">
        <f>IF(ISBLANK($B27)," ",VLOOKUP($B27,'Liste des aliments'!$C$6:$W$966,16,FALSE))</f>
        <v xml:space="preserve"> </v>
      </c>
      <c r="Q27" s="12" t="str">
        <f>IF(ISBLANK($B27)," ",VLOOKUP($B27,'Liste des aliments'!$C$6:$W$966,17,FALSE))</f>
        <v xml:space="preserve"> </v>
      </c>
      <c r="R27" s="12" t="str">
        <f>IF(ISBLANK($B27)," ",VLOOKUP($B27,'Liste des aliments'!$C$6:$W$966,18,FALSE))</f>
        <v xml:space="preserve"> </v>
      </c>
      <c r="S27" s="12" t="str">
        <f>IF(ISBLANK($B27)," ",VLOOKUP($B27,'Liste des aliments'!$C$6:$W$966,20,FALSE))</f>
        <v xml:space="preserve"> </v>
      </c>
      <c r="T27" s="107"/>
      <c r="AB27" s="555">
        <v>4</v>
      </c>
      <c r="AC27" s="555"/>
      <c r="AD27" s="555"/>
      <c r="AE27" s="555">
        <v>9</v>
      </c>
      <c r="AF27" s="549"/>
      <c r="AG27" s="549"/>
      <c r="AH27" s="549"/>
      <c r="AI27" s="549"/>
      <c r="AJ27" s="549"/>
      <c r="AK27" s="549"/>
      <c r="AL27" s="549"/>
      <c r="AM27" s="549"/>
    </row>
    <row r="28" spans="1:50" ht="14.4">
      <c r="A28" s="432"/>
      <c r="B28" s="387"/>
      <c r="C28" s="89" t="str">
        <f>IF(ISBLANK(B28),"",INDEX('Liste des aliments'!$B$6:$B$966,MATCH(B28,'Liste des aliments'!$C$6:$C$966,0)))</f>
        <v/>
      </c>
      <c r="D28" s="138"/>
      <c r="E28" s="139"/>
      <c r="F28" s="13" t="str">
        <f>IF(ISBLANK($B28)," ",VLOOKUP($B28,'Liste des aliments'!$C$6:$W$966,2,FALSE))</f>
        <v xml:space="preserve"> </v>
      </c>
      <c r="G28" s="14" t="str">
        <f t="shared" si="1"/>
        <v xml:space="preserve"> </v>
      </c>
      <c r="H28" s="14" t="str">
        <f>IF(ISBLANK($B28)," ",VLOOKUP($B28,'Liste des aliments'!$C$6:$W$966,8,FALSE))</f>
        <v xml:space="preserve"> </v>
      </c>
      <c r="I28" s="12" t="str">
        <f>IF(ISBLANK($B28)," ",VLOOKUP($B28,'Liste des aliments'!$C$6:$W$966,9,FALSE))</f>
        <v xml:space="preserve"> </v>
      </c>
      <c r="J28" s="12" t="str">
        <f>IF(ISBLANK($B28)," ",VLOOKUP($B28,'Liste des aliments'!$C$6:$W$966,10,FALSE))</f>
        <v xml:space="preserve"> </v>
      </c>
      <c r="K28" s="12" t="str">
        <f>IF(ISBLANK($B28)," ",VLOOKUP($B28,'Liste des aliments'!$C$6:$W$966,11,FALSE))</f>
        <v xml:space="preserve"> </v>
      </c>
      <c r="L28" s="13" t="str">
        <f>IF(ISBLANK($B28)," ",VLOOKUP($B28,'Liste des aliments'!$C$6:$W$966,12,FALSE))</f>
        <v xml:space="preserve"> </v>
      </c>
      <c r="M28" s="13" t="str">
        <f>IF(ISBLANK($B28)," ",VLOOKUP($B28,'Liste des aliments'!$C$6:$W$966,13,FALSE))</f>
        <v xml:space="preserve"> </v>
      </c>
      <c r="N28" s="12" t="str">
        <f>IF(ISBLANK($B28)," ",VLOOKUP($B28,'Liste des aliments'!$C$6:$W$966,14,FALSE))</f>
        <v xml:space="preserve"> </v>
      </c>
      <c r="O28" s="12" t="str">
        <f>IF(ISBLANK($B28)," ",VLOOKUP($B28,'Liste des aliments'!$C$6:$W$966,15,FALSE))</f>
        <v xml:space="preserve"> </v>
      </c>
      <c r="P28" s="12" t="str">
        <f>IF(ISBLANK($B28)," ",VLOOKUP($B28,'Liste des aliments'!$C$6:$W$966,16,FALSE))</f>
        <v xml:space="preserve"> </v>
      </c>
      <c r="Q28" s="12" t="str">
        <f>IF(ISBLANK($B28)," ",VLOOKUP($B28,'Liste des aliments'!$C$6:$W$966,17,FALSE))</f>
        <v xml:space="preserve"> </v>
      </c>
      <c r="R28" s="12" t="str">
        <f>IF(ISBLANK($B28)," ",VLOOKUP($B28,'Liste des aliments'!$C$6:$W$966,18,FALSE))</f>
        <v xml:space="preserve"> </v>
      </c>
      <c r="S28" s="12" t="str">
        <f>IF(ISBLANK($B28)," ",VLOOKUP($B28,'Liste des aliments'!$C$6:$W$966,20,FALSE))</f>
        <v xml:space="preserve"> </v>
      </c>
      <c r="T28" s="107"/>
      <c r="AB28" s="555">
        <v>4.5</v>
      </c>
      <c r="AC28" s="555"/>
      <c r="AD28" s="555"/>
      <c r="AE28" s="555">
        <v>10</v>
      </c>
      <c r="AF28" s="549"/>
      <c r="AG28" s="549"/>
      <c r="AH28" s="549"/>
      <c r="AI28" s="549"/>
      <c r="AJ28" s="549"/>
      <c r="AK28" s="549"/>
      <c r="AL28" s="549"/>
      <c r="AM28" s="549"/>
    </row>
    <row r="29" spans="1:50" ht="14.4">
      <c r="A29" s="432"/>
      <c r="B29" s="387"/>
      <c r="C29" s="89" t="str">
        <f>IF(ISBLANK(B29),"",INDEX('Liste des aliments'!$B$6:$B$966,MATCH(B29,'Liste des aliments'!$C$6:$C$966,0)))</f>
        <v/>
      </c>
      <c r="D29" s="138"/>
      <c r="E29" s="139"/>
      <c r="F29" s="13" t="str">
        <f>IF(ISBLANK($B29)," ",VLOOKUP($B29,'Liste des aliments'!$C$6:$W$966,2,FALSE))</f>
        <v xml:space="preserve"> </v>
      </c>
      <c r="G29" s="14" t="str">
        <f t="shared" si="1"/>
        <v xml:space="preserve"> </v>
      </c>
      <c r="H29" s="14" t="str">
        <f>IF(ISBLANK($B29)," ",VLOOKUP($B29,'Liste des aliments'!$C$6:$W$966,8,FALSE))</f>
        <v xml:space="preserve"> </v>
      </c>
      <c r="I29" s="12" t="str">
        <f>IF(ISBLANK($B29)," ",VLOOKUP($B29,'Liste des aliments'!$C$6:$W$966,9,FALSE))</f>
        <v xml:space="preserve"> </v>
      </c>
      <c r="J29" s="12" t="str">
        <f>IF(ISBLANK($B29)," ",VLOOKUP($B29,'Liste des aliments'!$C$6:$W$966,10,FALSE))</f>
        <v xml:space="preserve"> </v>
      </c>
      <c r="K29" s="12" t="str">
        <f>IF(ISBLANK($B29)," ",VLOOKUP($B29,'Liste des aliments'!$C$6:$W$966,11,FALSE))</f>
        <v xml:space="preserve"> </v>
      </c>
      <c r="L29" s="13" t="str">
        <f>IF(ISBLANK($B29)," ",VLOOKUP($B29,'Liste des aliments'!$C$6:$W$966,12,FALSE))</f>
        <v xml:space="preserve"> </v>
      </c>
      <c r="M29" s="13" t="str">
        <f>IF(ISBLANK($B29)," ",VLOOKUP($B29,'Liste des aliments'!$C$6:$W$966,13,FALSE))</f>
        <v xml:space="preserve"> </v>
      </c>
      <c r="N29" s="12" t="str">
        <f>IF(ISBLANK($B29)," ",VLOOKUP($B29,'Liste des aliments'!$C$6:$W$966,14,FALSE))</f>
        <v xml:space="preserve"> </v>
      </c>
      <c r="O29" s="12" t="str">
        <f>IF(ISBLANK($B29)," ",VLOOKUP($B29,'Liste des aliments'!$C$6:$W$966,15,FALSE))</f>
        <v xml:space="preserve"> </v>
      </c>
      <c r="P29" s="12" t="str">
        <f>IF(ISBLANK($B29)," ",VLOOKUP($B29,'Liste des aliments'!$C$6:$W$966,16,FALSE))</f>
        <v xml:space="preserve"> </v>
      </c>
      <c r="Q29" s="12" t="str">
        <f>IF(ISBLANK($B29)," ",VLOOKUP($B29,'Liste des aliments'!$C$6:$W$966,17,FALSE))</f>
        <v xml:space="preserve"> </v>
      </c>
      <c r="R29" s="12" t="str">
        <f>IF(ISBLANK($B29)," ",VLOOKUP($B29,'Liste des aliments'!$C$6:$W$966,18,FALSE))</f>
        <v xml:space="preserve"> </v>
      </c>
      <c r="S29" s="12" t="str">
        <f>IF(ISBLANK($B29)," ",VLOOKUP($B29,'Liste des aliments'!$C$6:$W$966,20,FALSE))</f>
        <v xml:space="preserve"> </v>
      </c>
      <c r="T29" s="107"/>
      <c r="AB29" s="555"/>
      <c r="AC29" s="556"/>
      <c r="AD29" s="555"/>
      <c r="AE29" s="555">
        <v>11</v>
      </c>
      <c r="AF29" s="549"/>
      <c r="AG29" s="549"/>
      <c r="AH29" s="549"/>
      <c r="AI29" s="549"/>
      <c r="AJ29" s="549"/>
      <c r="AK29" s="549"/>
      <c r="AL29" s="549"/>
      <c r="AM29" s="549"/>
    </row>
    <row r="30" spans="1:50" ht="14.4">
      <c r="A30" s="432"/>
      <c r="B30" s="387"/>
      <c r="C30" s="89" t="str">
        <f>IF(ISBLANK(B30),"",INDEX('Liste des aliments'!$B$6:$B$966,MATCH(B30,'Liste des aliments'!$C$6:$C$966,0)))</f>
        <v/>
      </c>
      <c r="D30" s="138"/>
      <c r="E30" s="139"/>
      <c r="F30" s="13" t="str">
        <f>IF(ISBLANK($B30)," ",VLOOKUP($B30,'Liste des aliments'!$C$6:$W$966,2,FALSE))</f>
        <v xml:space="preserve"> </v>
      </c>
      <c r="G30" s="14" t="str">
        <f t="shared" si="1"/>
        <v xml:space="preserve"> </v>
      </c>
      <c r="H30" s="14" t="str">
        <f>IF(ISBLANK($B30)," ",VLOOKUP($B30,'Liste des aliments'!$C$6:$W$966,8,FALSE))</f>
        <v xml:space="preserve"> </v>
      </c>
      <c r="I30" s="12" t="str">
        <f>IF(ISBLANK($B30)," ",VLOOKUP($B30,'Liste des aliments'!$C$6:$W$966,9,FALSE))</f>
        <v xml:space="preserve"> </v>
      </c>
      <c r="J30" s="12" t="str">
        <f>IF(ISBLANK($B30)," ",VLOOKUP($B30,'Liste des aliments'!$C$6:$W$966,10,FALSE))</f>
        <v xml:space="preserve"> </v>
      </c>
      <c r="K30" s="12" t="str">
        <f>IF(ISBLANK($B30)," ",VLOOKUP($B30,'Liste des aliments'!$C$6:$W$966,11,FALSE))</f>
        <v xml:space="preserve"> </v>
      </c>
      <c r="L30" s="13" t="str">
        <f>IF(ISBLANK($B30)," ",VLOOKUP($B30,'Liste des aliments'!$C$6:$W$966,12,FALSE))</f>
        <v xml:space="preserve"> </v>
      </c>
      <c r="M30" s="13" t="str">
        <f>IF(ISBLANK($B30)," ",VLOOKUP($B30,'Liste des aliments'!$C$6:$W$966,13,FALSE))</f>
        <v xml:space="preserve"> </v>
      </c>
      <c r="N30" s="12" t="str">
        <f>IF(ISBLANK($B30)," ",VLOOKUP($B30,'Liste des aliments'!$C$6:$W$966,14,FALSE))</f>
        <v xml:space="preserve"> </v>
      </c>
      <c r="O30" s="12" t="str">
        <f>IF(ISBLANK($B30)," ",VLOOKUP($B30,'Liste des aliments'!$C$6:$W$966,15,FALSE))</f>
        <v xml:space="preserve"> </v>
      </c>
      <c r="P30" s="12" t="str">
        <f>IF(ISBLANK($B30)," ",VLOOKUP($B30,'Liste des aliments'!$C$6:$W$966,16,FALSE))</f>
        <v xml:space="preserve"> </v>
      </c>
      <c r="Q30" s="12" t="str">
        <f>IF(ISBLANK($B30)," ",VLOOKUP($B30,'Liste des aliments'!$C$6:$W$966,17,FALSE))</f>
        <v xml:space="preserve"> </v>
      </c>
      <c r="R30" s="12" t="str">
        <f>IF(ISBLANK($B30)," ",VLOOKUP($B30,'Liste des aliments'!$C$6:$W$966,18,FALSE))</f>
        <v xml:space="preserve"> </v>
      </c>
      <c r="S30" s="12" t="str">
        <f>IF(ISBLANK($B30)," ",VLOOKUP($B30,'Liste des aliments'!$C$6:$W$966,20,FALSE))</f>
        <v xml:space="preserve"> </v>
      </c>
      <c r="T30" s="107"/>
      <c r="AB30" s="555"/>
      <c r="AC30" s="305"/>
      <c r="AD30" s="555"/>
      <c r="AE30" s="555">
        <v>12</v>
      </c>
      <c r="AF30" s="549"/>
      <c r="AG30" s="549"/>
      <c r="AH30" s="549"/>
      <c r="AI30" s="549"/>
      <c r="AJ30" s="549"/>
      <c r="AK30" s="549"/>
      <c r="AL30" s="549"/>
      <c r="AM30" s="549"/>
    </row>
    <row r="31" spans="1:50" ht="14.4">
      <c r="A31" s="432"/>
      <c r="B31" s="387"/>
      <c r="C31" s="89" t="str">
        <f>IF(ISBLANK(B31),"",INDEX('Liste des aliments'!$B$6:$B$966,MATCH(B31,'Liste des aliments'!$C$6:$C$966,0)))</f>
        <v/>
      </c>
      <c r="D31" s="138"/>
      <c r="E31" s="139"/>
      <c r="F31" s="13" t="str">
        <f>IF(ISBLANK($B31)," ",VLOOKUP($B31,'Liste des aliments'!$C$6:$W$966,2,FALSE))</f>
        <v xml:space="preserve"> </v>
      </c>
      <c r="G31" s="14" t="str">
        <f t="shared" si="1"/>
        <v xml:space="preserve"> </v>
      </c>
      <c r="H31" s="14" t="str">
        <f>IF(ISBLANK($B31)," ",VLOOKUP($B31,'Liste des aliments'!$C$6:$W$966,8,FALSE))</f>
        <v xml:space="preserve"> </v>
      </c>
      <c r="I31" s="12" t="str">
        <f>IF(ISBLANK($B31)," ",VLOOKUP($B31,'Liste des aliments'!$C$6:$W$966,9,FALSE))</f>
        <v xml:space="preserve"> </v>
      </c>
      <c r="J31" s="12" t="str">
        <f>IF(ISBLANK($B31)," ",VLOOKUP($B31,'Liste des aliments'!$C$6:$W$966,10,FALSE))</f>
        <v xml:space="preserve"> </v>
      </c>
      <c r="K31" s="12" t="str">
        <f>IF(ISBLANK($B31)," ",VLOOKUP($B31,'Liste des aliments'!$C$6:$W$966,11,FALSE))</f>
        <v xml:space="preserve"> </v>
      </c>
      <c r="L31" s="13" t="str">
        <f>IF(ISBLANK($B31)," ",VLOOKUP($B31,'Liste des aliments'!$C$6:$W$966,12,FALSE))</f>
        <v xml:space="preserve"> </v>
      </c>
      <c r="M31" s="13" t="str">
        <f>IF(ISBLANK($B31)," ",VLOOKUP($B31,'Liste des aliments'!$C$6:$W$966,13,FALSE))</f>
        <v xml:space="preserve"> </v>
      </c>
      <c r="N31" s="12" t="str">
        <f>IF(ISBLANK($B31)," ",VLOOKUP($B31,'Liste des aliments'!$C$6:$W$966,14,FALSE))</f>
        <v xml:space="preserve"> </v>
      </c>
      <c r="O31" s="12" t="str">
        <f>IF(ISBLANK($B31)," ",VLOOKUP($B31,'Liste des aliments'!$C$6:$W$966,15,FALSE))</f>
        <v xml:space="preserve"> </v>
      </c>
      <c r="P31" s="12" t="str">
        <f>IF(ISBLANK($B31)," ",VLOOKUP($B31,'Liste des aliments'!$C$6:$W$966,16,FALSE))</f>
        <v xml:space="preserve"> </v>
      </c>
      <c r="Q31" s="12" t="str">
        <f>IF(ISBLANK($B31)," ",VLOOKUP($B31,'Liste des aliments'!$C$6:$W$966,17,FALSE))</f>
        <v xml:space="preserve"> </v>
      </c>
      <c r="R31" s="12" t="str">
        <f>IF(ISBLANK($B31)," ",VLOOKUP($B31,'Liste des aliments'!$C$6:$W$966,18,FALSE))</f>
        <v xml:space="preserve"> </v>
      </c>
      <c r="S31" s="12" t="str">
        <f>IF(ISBLANK($B31)," ",VLOOKUP($B31,'Liste des aliments'!$C$6:$W$966,20,FALSE))</f>
        <v xml:space="preserve"> </v>
      </c>
      <c r="T31" s="107"/>
      <c r="AB31" s="555"/>
      <c r="AC31" s="555"/>
      <c r="AD31" s="555"/>
      <c r="AE31" s="555"/>
      <c r="AF31" s="549"/>
      <c r="AG31" s="549"/>
      <c r="AH31" s="549"/>
      <c r="AI31" s="549"/>
      <c r="AJ31" s="549"/>
      <c r="AK31" s="549"/>
      <c r="AL31" s="549"/>
      <c r="AM31" s="549"/>
    </row>
    <row r="32" spans="1:50" ht="14.4">
      <c r="A32" s="432"/>
      <c r="B32" s="387"/>
      <c r="C32" s="89" t="str">
        <f>IF(ISBLANK(B32),"",INDEX('Liste des aliments'!$B$6:$B$966,MATCH(B32,'Liste des aliments'!$C$6:$C$966,0)))</f>
        <v/>
      </c>
      <c r="D32" s="138"/>
      <c r="E32" s="139"/>
      <c r="F32" s="13" t="str">
        <f>IF(ISBLANK($B32)," ",VLOOKUP($B32,'Liste des aliments'!$C$6:$W$966,2,FALSE))</f>
        <v xml:space="preserve"> </v>
      </c>
      <c r="G32" s="14" t="str">
        <f t="shared" si="1"/>
        <v xml:space="preserve"> </v>
      </c>
      <c r="H32" s="14" t="str">
        <f>IF(ISBLANK($B32)," ",VLOOKUP($B32,'Liste des aliments'!$C$6:$W$966,8,FALSE))</f>
        <v xml:space="preserve"> </v>
      </c>
      <c r="I32" s="12" t="str">
        <f>IF(ISBLANK($B32)," ",VLOOKUP($B32,'Liste des aliments'!$C$6:$W$966,9,FALSE))</f>
        <v xml:space="preserve"> </v>
      </c>
      <c r="J32" s="12" t="str">
        <f>IF(ISBLANK($B32)," ",VLOOKUP($B32,'Liste des aliments'!$C$6:$W$966,10,FALSE))</f>
        <v xml:space="preserve"> </v>
      </c>
      <c r="K32" s="12" t="str">
        <f>IF(ISBLANK($B32)," ",VLOOKUP($B32,'Liste des aliments'!$C$6:$W$966,11,FALSE))</f>
        <v xml:space="preserve"> </v>
      </c>
      <c r="L32" s="13" t="str">
        <f>IF(ISBLANK($B32)," ",VLOOKUP($B32,'Liste des aliments'!$C$6:$W$966,12,FALSE))</f>
        <v xml:space="preserve"> </v>
      </c>
      <c r="M32" s="13" t="str">
        <f>IF(ISBLANK($B32)," ",VLOOKUP($B32,'Liste des aliments'!$C$6:$W$966,13,FALSE))</f>
        <v xml:space="preserve"> </v>
      </c>
      <c r="N32" s="12" t="str">
        <f>IF(ISBLANK($B32)," ",VLOOKUP($B32,'Liste des aliments'!$C$6:$W$966,14,FALSE))</f>
        <v xml:space="preserve"> </v>
      </c>
      <c r="O32" s="12" t="str">
        <f>IF(ISBLANK($B32)," ",VLOOKUP($B32,'Liste des aliments'!$C$6:$W$966,15,FALSE))</f>
        <v xml:space="preserve"> </v>
      </c>
      <c r="P32" s="12" t="str">
        <f>IF(ISBLANK($B32)," ",VLOOKUP($B32,'Liste des aliments'!$C$6:$W$966,16,FALSE))</f>
        <v xml:space="preserve"> </v>
      </c>
      <c r="Q32" s="12" t="str">
        <f>IF(ISBLANK($B32)," ",VLOOKUP($B32,'Liste des aliments'!$C$6:$W$966,17,FALSE))</f>
        <v xml:space="preserve"> </v>
      </c>
      <c r="R32" s="12" t="str">
        <f>IF(ISBLANK($B32)," ",VLOOKUP($B32,'Liste des aliments'!$C$6:$W$966,18,FALSE))</f>
        <v xml:space="preserve"> </v>
      </c>
      <c r="S32" s="12" t="str">
        <f>IF(ISBLANK($B32)," ",VLOOKUP($B32,'Liste des aliments'!$C$6:$W$966,20,FALSE))</f>
        <v xml:space="preserve"> </v>
      </c>
      <c r="T32" s="107"/>
      <c r="AB32" s="555"/>
      <c r="AC32" s="555"/>
      <c r="AD32" s="555"/>
      <c r="AE32" s="555"/>
      <c r="AF32" s="549"/>
      <c r="AG32" s="549"/>
      <c r="AH32" s="549"/>
      <c r="AI32" s="549"/>
      <c r="AJ32" s="549"/>
      <c r="AK32" s="549"/>
      <c r="AL32" s="549"/>
      <c r="AM32" s="549"/>
    </row>
    <row r="33" spans="1:39" ht="14.4">
      <c r="A33" s="432"/>
      <c r="B33" s="387"/>
      <c r="C33" s="89" t="str">
        <f>IF(ISBLANK(B33),"",INDEX('Liste des aliments'!$B$6:$B$966,MATCH(B33,'Liste des aliments'!$C$6:$C$966,0)))</f>
        <v/>
      </c>
      <c r="D33" s="138"/>
      <c r="E33" s="139"/>
      <c r="F33" s="13" t="str">
        <f>IF(ISBLANK($B33)," ",VLOOKUP($B33,'Liste des aliments'!$C$6:$W$966,2,FALSE))</f>
        <v xml:space="preserve"> </v>
      </c>
      <c r="G33" s="14" t="str">
        <f t="shared" si="1"/>
        <v xml:space="preserve"> </v>
      </c>
      <c r="H33" s="14" t="str">
        <f>IF(ISBLANK($B33)," ",VLOOKUP($B33,'Liste des aliments'!$C$6:$W$966,8,FALSE))</f>
        <v xml:space="preserve"> </v>
      </c>
      <c r="I33" s="12" t="str">
        <f>IF(ISBLANK($B33)," ",VLOOKUP($B33,'Liste des aliments'!$C$6:$W$966,9,FALSE))</f>
        <v xml:space="preserve"> </v>
      </c>
      <c r="J33" s="12" t="str">
        <f>IF(ISBLANK($B33)," ",VLOOKUP($B33,'Liste des aliments'!$C$6:$W$966,10,FALSE))</f>
        <v xml:space="preserve"> </v>
      </c>
      <c r="K33" s="12" t="str">
        <f>IF(ISBLANK($B33)," ",VLOOKUP($B33,'Liste des aliments'!$C$6:$W$966,11,FALSE))</f>
        <v xml:space="preserve"> </v>
      </c>
      <c r="L33" s="13" t="str">
        <f>IF(ISBLANK($B33)," ",VLOOKUP($B33,'Liste des aliments'!$C$6:$W$966,12,FALSE))</f>
        <v xml:space="preserve"> </v>
      </c>
      <c r="M33" s="13" t="str">
        <f>IF(ISBLANK($B33)," ",VLOOKUP($B33,'Liste des aliments'!$C$6:$W$966,13,FALSE))</f>
        <v xml:space="preserve"> </v>
      </c>
      <c r="N33" s="12" t="str">
        <f>IF(ISBLANK($B33)," ",VLOOKUP($B33,'Liste des aliments'!$C$6:$W$966,14,FALSE))</f>
        <v xml:space="preserve"> </v>
      </c>
      <c r="O33" s="12" t="str">
        <f>IF(ISBLANK($B33)," ",VLOOKUP($B33,'Liste des aliments'!$C$6:$W$966,15,FALSE))</f>
        <v xml:space="preserve"> </v>
      </c>
      <c r="P33" s="12" t="str">
        <f>IF(ISBLANK($B33)," ",VLOOKUP($B33,'Liste des aliments'!$C$6:$W$966,16,FALSE))</f>
        <v xml:space="preserve"> </v>
      </c>
      <c r="Q33" s="12" t="str">
        <f>IF(ISBLANK($B33)," ",VLOOKUP($B33,'Liste des aliments'!$C$6:$W$966,17,FALSE))</f>
        <v xml:space="preserve"> </v>
      </c>
      <c r="R33" s="12" t="str">
        <f>IF(ISBLANK($B33)," ",VLOOKUP($B33,'Liste des aliments'!$C$6:$W$966,18,FALSE))</f>
        <v xml:space="preserve"> </v>
      </c>
      <c r="S33" s="12" t="str">
        <f>IF(ISBLANK($B33)," ",VLOOKUP($B33,'Liste des aliments'!$C$6:$W$966,20,FALSE))</f>
        <v xml:space="preserve"> </v>
      </c>
      <c r="T33" s="107"/>
      <c r="AB33" s="555"/>
      <c r="AC33" s="555"/>
      <c r="AD33" s="555"/>
      <c r="AE33" s="555"/>
      <c r="AF33" s="549"/>
      <c r="AG33" s="549"/>
      <c r="AH33" s="549"/>
      <c r="AI33" s="549"/>
      <c r="AJ33" s="549"/>
      <c r="AK33" s="549"/>
      <c r="AL33" s="549"/>
      <c r="AM33" s="549"/>
    </row>
    <row r="34" spans="1:39" ht="15" thickBot="1">
      <c r="A34" s="432"/>
      <c r="B34" s="388"/>
      <c r="C34" s="15" t="str">
        <f>IF(ISBLANK(B34),"",INDEX('Liste des aliments'!$B$6:$B$966,MATCH(B34,'Liste des aliments'!$C$6:$C$966,0)))</f>
        <v/>
      </c>
      <c r="D34" s="143"/>
      <c r="E34" s="144"/>
      <c r="F34" s="3" t="str">
        <f>IF(ISBLANK($B34)," ",VLOOKUP($B34,'Liste des aliments'!$C$6:$W$966,2,FALSE))</f>
        <v xml:space="preserve"> </v>
      </c>
      <c r="G34" s="10" t="str">
        <f t="shared" si="1"/>
        <v xml:space="preserve"> </v>
      </c>
      <c r="H34" s="10" t="str">
        <f>IF(ISBLANK($B34)," ",VLOOKUP($B34,'Liste des aliments'!$C$6:$W$966,8,FALSE))</f>
        <v xml:space="preserve"> </v>
      </c>
      <c r="I34" s="4" t="str">
        <f>IF(ISBLANK($B34)," ",VLOOKUP($B34,'Liste des aliments'!$C$6:$W$966,9,FALSE))</f>
        <v xml:space="preserve"> </v>
      </c>
      <c r="J34" s="4" t="str">
        <f>IF(ISBLANK($B34)," ",VLOOKUP($B34,'Liste des aliments'!$C$6:$W$966,10,FALSE))</f>
        <v xml:space="preserve"> </v>
      </c>
      <c r="K34" s="4" t="str">
        <f>IF(ISBLANK($B34)," ",VLOOKUP($B34,'Liste des aliments'!$C$6:$W$966,11,FALSE))</f>
        <v xml:space="preserve"> </v>
      </c>
      <c r="L34" s="3" t="str">
        <f>IF(ISBLANK($B34)," ",VLOOKUP($B34,'Liste des aliments'!$C$6:$W$966,12,FALSE))</f>
        <v xml:space="preserve"> </v>
      </c>
      <c r="M34" s="3" t="str">
        <f>IF(ISBLANK($B34)," ",VLOOKUP($B34,'Liste des aliments'!$C$6:$W$966,13,FALSE))</f>
        <v xml:space="preserve"> </v>
      </c>
      <c r="N34" s="4" t="str">
        <f>IF(ISBLANK($B34)," ",VLOOKUP($B34,'Liste des aliments'!$C$6:$W$966,14,FALSE))</f>
        <v xml:space="preserve"> </v>
      </c>
      <c r="O34" s="4" t="str">
        <f>IF(ISBLANK($B34)," ",VLOOKUP($B34,'Liste des aliments'!$C$6:$W$966,15,FALSE))</f>
        <v xml:space="preserve"> </v>
      </c>
      <c r="P34" s="4" t="str">
        <f>IF(ISBLANK($B34)," ",VLOOKUP($B34,'Liste des aliments'!$C$6:$W$966,16,FALSE))</f>
        <v xml:space="preserve"> </v>
      </c>
      <c r="Q34" s="4" t="str">
        <f>IF(ISBLANK($B34)," ",VLOOKUP($B34,'Liste des aliments'!$C$6:$W$966,17,FALSE))</f>
        <v xml:space="preserve"> </v>
      </c>
      <c r="R34" s="4" t="str">
        <f>IF(ISBLANK($B34)," ",VLOOKUP($B34,'Liste des aliments'!$C$6:$W$966,18,FALSE))</f>
        <v xml:space="preserve"> </v>
      </c>
      <c r="S34" s="4" t="str">
        <f>IF(ISBLANK($B34)," ",VLOOKUP($B34,'Liste des aliments'!$C$6:$W$966,20,FALSE))</f>
        <v xml:space="preserve"> </v>
      </c>
      <c r="T34" s="108"/>
      <c r="AB34" s="555"/>
      <c r="AC34" s="555"/>
      <c r="AD34" s="555"/>
      <c r="AE34" s="555"/>
      <c r="AF34" s="549"/>
      <c r="AG34" s="549"/>
      <c r="AH34" s="549"/>
      <c r="AI34" s="549"/>
      <c r="AJ34" s="549"/>
      <c r="AK34" s="549"/>
      <c r="AL34" s="549"/>
      <c r="AM34" s="549"/>
    </row>
    <row r="35" spans="1:39" ht="14.4">
      <c r="G35" s="109" t="str">
        <f t="shared" ref="G35" si="2">IF($A35&gt;0,(D35*E35/100)," ")</f>
        <v xml:space="preserve"> </v>
      </c>
      <c r="AB35" s="555"/>
      <c r="AC35" s="555"/>
      <c r="AD35" s="555"/>
      <c r="AE35" s="555"/>
      <c r="AF35" s="549"/>
      <c r="AG35" s="549"/>
      <c r="AH35" s="549"/>
      <c r="AI35" s="549"/>
      <c r="AJ35" s="549"/>
      <c r="AK35" s="549"/>
      <c r="AL35" s="549"/>
      <c r="AM35" s="549"/>
    </row>
    <row r="36" spans="1:39" ht="16.2" thickBot="1">
      <c r="B36" s="11" t="s">
        <v>195</v>
      </c>
      <c r="C36" s="1"/>
      <c r="D36" s="1"/>
      <c r="E36" s="1"/>
      <c r="F36" s="1"/>
      <c r="G36" s="1"/>
      <c r="H36" s="1"/>
      <c r="I36" s="1"/>
      <c r="J36" s="1"/>
      <c r="K36" s="1"/>
      <c r="L36" s="1"/>
      <c r="M36" s="1"/>
      <c r="N36" s="1"/>
      <c r="O36" s="791" t="s">
        <v>196</v>
      </c>
      <c r="P36" s="791"/>
      <c r="Q36" s="791"/>
      <c r="R36" s="791"/>
      <c r="S36" s="43"/>
      <c r="T36" s="1"/>
      <c r="AB36" s="555"/>
      <c r="AC36" s="555"/>
      <c r="AD36" s="555"/>
      <c r="AE36" s="555"/>
      <c r="AF36" s="549"/>
      <c r="AG36" s="549"/>
      <c r="AH36" s="549"/>
      <c r="AI36" s="549"/>
      <c r="AJ36" s="549"/>
      <c r="AK36" s="549"/>
      <c r="AL36" s="549"/>
      <c r="AM36" s="549"/>
    </row>
    <row r="37" spans="1:39" ht="15" thickBot="1">
      <c r="B37" s="2"/>
      <c r="C37" s="1"/>
      <c r="D37" s="59" t="s">
        <v>188</v>
      </c>
      <c r="E37" s="60" t="s">
        <v>197</v>
      </c>
      <c r="F37" s="60"/>
      <c r="G37" s="60" t="s">
        <v>191</v>
      </c>
      <c r="H37" s="60" t="s">
        <v>47</v>
      </c>
      <c r="I37" s="60" t="s">
        <v>48</v>
      </c>
      <c r="J37" s="60" t="s">
        <v>49</v>
      </c>
      <c r="K37" s="60" t="s">
        <v>50</v>
      </c>
      <c r="L37" s="60" t="s">
        <v>51</v>
      </c>
      <c r="M37" s="60" t="s">
        <v>52</v>
      </c>
      <c r="N37" s="60" t="s">
        <v>192</v>
      </c>
      <c r="O37" s="61" t="s">
        <v>54</v>
      </c>
      <c r="P37" s="61" t="s">
        <v>198</v>
      </c>
      <c r="Q37" s="61" t="s">
        <v>56</v>
      </c>
      <c r="R37" s="61" t="s">
        <v>57</v>
      </c>
      <c r="S37" s="61" t="s">
        <v>59</v>
      </c>
      <c r="T37" s="62" t="s">
        <v>194</v>
      </c>
      <c r="AB37" s="555"/>
      <c r="AC37" s="555"/>
      <c r="AD37" s="555"/>
      <c r="AE37" s="555"/>
      <c r="AF37" s="549"/>
      <c r="AG37" s="549"/>
      <c r="AH37" s="549"/>
      <c r="AI37" s="549"/>
      <c r="AJ37" s="549"/>
      <c r="AK37" s="549"/>
      <c r="AL37" s="549"/>
      <c r="AM37" s="549"/>
    </row>
    <row r="38" spans="1:39" ht="18" customHeight="1">
      <c r="B38" s="93" t="s">
        <v>199</v>
      </c>
      <c r="C38" s="520"/>
      <c r="D38" s="521">
        <f>SUM(D19:D34)</f>
        <v>0</v>
      </c>
      <c r="E38" s="353" t="e">
        <f>G38/D38*100</f>
        <v>#DIV/0!</v>
      </c>
      <c r="F38" s="354"/>
      <c r="G38" s="355">
        <f>SUM(G19:G34)</f>
        <v>0</v>
      </c>
      <c r="H38" s="355">
        <f>K75</f>
        <v>0</v>
      </c>
      <c r="I38" s="356">
        <f t="shared" ref="I38:T38" si="3">L75</f>
        <v>0</v>
      </c>
      <c r="J38" s="356">
        <f t="shared" si="3"/>
        <v>0</v>
      </c>
      <c r="K38" s="356">
        <f t="shared" si="3"/>
        <v>0</v>
      </c>
      <c r="L38" s="356">
        <f t="shared" si="3"/>
        <v>0</v>
      </c>
      <c r="M38" s="356">
        <f t="shared" si="3"/>
        <v>0</v>
      </c>
      <c r="N38" s="356">
        <f t="shared" si="3"/>
        <v>0</v>
      </c>
      <c r="O38" s="357">
        <f t="shared" si="3"/>
        <v>0</v>
      </c>
      <c r="P38" s="357">
        <f t="shared" si="3"/>
        <v>0</v>
      </c>
      <c r="Q38" s="357">
        <f t="shared" si="3"/>
        <v>0</v>
      </c>
      <c r="R38" s="357">
        <f t="shared" si="3"/>
        <v>0</v>
      </c>
      <c r="S38" s="357">
        <f t="shared" si="3"/>
        <v>0</v>
      </c>
      <c r="T38" s="358">
        <f t="shared" si="3"/>
        <v>0</v>
      </c>
      <c r="AB38" s="555"/>
      <c r="AC38" s="555"/>
      <c r="AD38" s="555"/>
      <c r="AE38" s="555"/>
      <c r="AF38" s="549"/>
      <c r="AG38" s="549"/>
      <c r="AH38" s="549"/>
      <c r="AI38" s="549"/>
      <c r="AJ38" s="549"/>
      <c r="AK38" s="549"/>
      <c r="AL38" s="549"/>
      <c r="AM38" s="549"/>
    </row>
    <row r="39" spans="1:39" ht="18" customHeight="1">
      <c r="B39" s="95" t="s">
        <v>200</v>
      </c>
      <c r="C39" s="522"/>
      <c r="D39" s="44"/>
      <c r="E39" s="44"/>
      <c r="F39" s="44"/>
      <c r="G39" s="56">
        <v>1</v>
      </c>
      <c r="H39" s="58" t="e">
        <f>H38/$G$38</f>
        <v>#DIV/0!</v>
      </c>
      <c r="I39" s="57" t="e">
        <f t="shared" ref="I39:T39" si="4">I38/$G$38</f>
        <v>#DIV/0!</v>
      </c>
      <c r="J39" s="57" t="e">
        <f t="shared" si="4"/>
        <v>#DIV/0!</v>
      </c>
      <c r="K39" s="57" t="e">
        <f t="shared" si="4"/>
        <v>#DIV/0!</v>
      </c>
      <c r="L39" s="56" t="e">
        <f t="shared" si="4"/>
        <v>#DIV/0!</v>
      </c>
      <c r="M39" s="56" t="e">
        <f t="shared" si="4"/>
        <v>#DIV/0!</v>
      </c>
      <c r="N39" s="57" t="e">
        <f t="shared" si="4"/>
        <v>#DIV/0!</v>
      </c>
      <c r="O39" s="75" t="e">
        <f t="shared" si="4"/>
        <v>#DIV/0!</v>
      </c>
      <c r="P39" s="75" t="e">
        <f t="shared" si="4"/>
        <v>#DIV/0!</v>
      </c>
      <c r="Q39" s="75" t="e">
        <f t="shared" si="4"/>
        <v>#DIV/0!</v>
      </c>
      <c r="R39" s="75" t="e">
        <f t="shared" si="4"/>
        <v>#DIV/0!</v>
      </c>
      <c r="S39" s="75" t="e">
        <f t="shared" si="4"/>
        <v>#DIV/0!</v>
      </c>
      <c r="T39" s="404" t="e">
        <f t="shared" si="4"/>
        <v>#DIV/0!</v>
      </c>
      <c r="AB39" s="555"/>
      <c r="AC39" s="555"/>
      <c r="AD39" s="555"/>
      <c r="AE39" s="555"/>
      <c r="AF39" s="549"/>
      <c r="AG39" s="549"/>
      <c r="AH39" s="549"/>
      <c r="AI39" s="549"/>
      <c r="AJ39" s="549"/>
      <c r="AK39" s="549"/>
      <c r="AL39" s="549"/>
      <c r="AM39" s="549"/>
    </row>
    <row r="40" spans="1:39" ht="15" thickBot="1">
      <c r="B40" s="97" t="s">
        <v>260</v>
      </c>
      <c r="C40" s="259"/>
      <c r="D40" s="523"/>
      <c r="E40" s="523"/>
      <c r="F40" s="523"/>
      <c r="G40" s="524">
        <f>G38/H10</f>
        <v>0</v>
      </c>
      <c r="H40" s="524">
        <f>H38/J10</f>
        <v>0</v>
      </c>
      <c r="I40" s="524">
        <f>I38/K10</f>
        <v>0</v>
      </c>
      <c r="J40" s="524">
        <f>J38/L10</f>
        <v>0</v>
      </c>
      <c r="K40" s="525"/>
      <c r="L40" s="524">
        <f>L38/N10</f>
        <v>0</v>
      </c>
      <c r="M40" s="524">
        <f>M38/O10</f>
        <v>0</v>
      </c>
      <c r="N40" s="523"/>
      <c r="O40" s="523"/>
      <c r="P40" s="523"/>
      <c r="Q40" s="523"/>
      <c r="R40" s="523"/>
      <c r="S40" s="523"/>
      <c r="T40" s="526"/>
      <c r="AB40" s="555"/>
      <c r="AC40" s="555"/>
      <c r="AD40" s="555"/>
      <c r="AE40" s="555"/>
      <c r="AF40" s="549"/>
      <c r="AG40" s="549"/>
      <c r="AH40" s="549"/>
      <c r="AI40" s="549"/>
      <c r="AJ40" s="549"/>
      <c r="AK40" s="549"/>
      <c r="AL40" s="549"/>
      <c r="AM40" s="549"/>
    </row>
    <row r="41" spans="1:39" ht="14.4">
      <c r="A41" s="431"/>
      <c r="B41" s="431"/>
      <c r="C41" s="431"/>
      <c r="D41" s="146"/>
      <c r="E41" s="146"/>
      <c r="F41" s="146"/>
      <c r="G41" s="146"/>
      <c r="H41" s="146"/>
      <c r="I41" s="146"/>
      <c r="J41" s="146"/>
      <c r="K41" s="146"/>
      <c r="L41" s="146"/>
      <c r="M41" s="146"/>
      <c r="N41" s="146"/>
      <c r="O41" s="146"/>
      <c r="P41" s="146"/>
      <c r="Q41" s="146"/>
      <c r="R41" s="146"/>
      <c r="S41" s="146"/>
      <c r="T41" s="490"/>
      <c r="AB41" s="555"/>
      <c r="AC41" s="555"/>
      <c r="AD41" s="555"/>
      <c r="AE41" s="555"/>
      <c r="AF41" s="549"/>
      <c r="AG41" s="549"/>
      <c r="AH41" s="549"/>
      <c r="AI41" s="549"/>
      <c r="AJ41" s="549"/>
      <c r="AK41" s="549"/>
      <c r="AL41" s="549"/>
      <c r="AM41" s="549"/>
    </row>
    <row r="42" spans="1:39" ht="14.4">
      <c r="N42" s="151" t="s">
        <v>203</v>
      </c>
      <c r="O42" s="152">
        <v>150</v>
      </c>
      <c r="P42" s="152">
        <v>160</v>
      </c>
      <c r="Q42" s="152">
        <v>300</v>
      </c>
      <c r="R42" s="153">
        <v>200</v>
      </c>
      <c r="S42" s="154"/>
      <c r="AB42" s="555"/>
      <c r="AC42" s="555"/>
      <c r="AD42" s="555"/>
      <c r="AE42" s="555"/>
      <c r="AF42" s="549"/>
      <c r="AG42" s="549"/>
      <c r="AH42" s="549"/>
      <c r="AI42" s="549"/>
      <c r="AJ42" s="549"/>
      <c r="AK42" s="549"/>
      <c r="AL42" s="549"/>
      <c r="AM42" s="549"/>
    </row>
    <row r="43" spans="1:39" ht="14.4">
      <c r="B43" s="774" t="s">
        <v>205</v>
      </c>
      <c r="C43" s="774"/>
      <c r="H43" s="303"/>
      <c r="N43" s="157" t="s">
        <v>204</v>
      </c>
      <c r="O43" s="158">
        <v>300</v>
      </c>
      <c r="P43" s="158"/>
      <c r="Q43" s="158"/>
      <c r="R43" s="159"/>
      <c r="S43" s="160">
        <v>40</v>
      </c>
      <c r="AB43" s="555"/>
      <c r="AC43" s="555"/>
      <c r="AD43" s="555"/>
      <c r="AE43" s="555"/>
      <c r="AF43" s="549"/>
      <c r="AG43" s="549"/>
      <c r="AH43" s="549"/>
      <c r="AI43" s="549"/>
      <c r="AJ43" s="549"/>
      <c r="AK43" s="549"/>
      <c r="AL43" s="549"/>
      <c r="AM43" s="549"/>
    </row>
    <row r="44" spans="1:39" ht="14.4">
      <c r="B44" s="274" t="s">
        <v>206</v>
      </c>
      <c r="C44" s="275"/>
      <c r="AB44" s="555"/>
      <c r="AC44" s="555"/>
      <c r="AD44" s="555"/>
      <c r="AE44" s="555"/>
      <c r="AF44" s="549"/>
      <c r="AG44" s="549"/>
      <c r="AH44" s="549"/>
      <c r="AI44" s="549"/>
      <c r="AJ44" s="549"/>
      <c r="AK44" s="549"/>
      <c r="AL44" s="549"/>
      <c r="AM44" s="549"/>
    </row>
    <row r="45" spans="1:39" ht="14.4">
      <c r="B45" s="274" t="s">
        <v>207</v>
      </c>
      <c r="C45" s="276"/>
      <c r="AB45" s="555"/>
      <c r="AC45" s="555"/>
      <c r="AD45" s="555"/>
      <c r="AE45" s="555"/>
      <c r="AF45" s="549"/>
      <c r="AG45" s="549"/>
      <c r="AH45" s="549"/>
      <c r="AI45" s="549"/>
      <c r="AJ45" s="549"/>
      <c r="AK45" s="549"/>
      <c r="AL45" s="549"/>
      <c r="AM45" s="549"/>
    </row>
    <row r="46" spans="1:39" ht="14.4">
      <c r="B46" s="274" t="s">
        <v>208</v>
      </c>
      <c r="C46" s="277"/>
      <c r="R46" s="145"/>
      <c r="S46" s="147"/>
      <c r="AB46" s="555"/>
      <c r="AC46" s="555"/>
      <c r="AD46" s="555"/>
      <c r="AE46" s="555"/>
      <c r="AF46" s="549"/>
      <c r="AG46" s="549"/>
      <c r="AH46" s="549"/>
      <c r="AI46" s="549"/>
      <c r="AJ46" s="549"/>
      <c r="AK46" s="549"/>
      <c r="AL46" s="549"/>
      <c r="AM46" s="549"/>
    </row>
    <row r="47" spans="1:39" ht="14.4">
      <c r="S47" s="147"/>
      <c r="AB47" s="555"/>
      <c r="AC47" s="555"/>
      <c r="AD47" s="555"/>
      <c r="AE47" s="555"/>
      <c r="AF47" s="549"/>
      <c r="AG47" s="549"/>
      <c r="AH47" s="549"/>
      <c r="AI47" s="549"/>
      <c r="AJ47" s="549"/>
      <c r="AK47" s="549"/>
      <c r="AL47" s="549"/>
      <c r="AM47" s="549"/>
    </row>
    <row r="48" spans="1:39" ht="14.4">
      <c r="AB48" s="555"/>
      <c r="AC48" s="555"/>
      <c r="AD48" s="555"/>
      <c r="AE48" s="555"/>
      <c r="AF48" s="549"/>
      <c r="AG48" s="549"/>
      <c r="AH48" s="549"/>
      <c r="AI48" s="549"/>
      <c r="AJ48" s="549"/>
      <c r="AK48" s="549"/>
      <c r="AL48" s="549"/>
      <c r="AM48" s="549"/>
    </row>
    <row r="49" spans="1:39" ht="14.4">
      <c r="AB49" s="555"/>
      <c r="AC49" s="555"/>
      <c r="AD49" s="555"/>
      <c r="AE49" s="555"/>
      <c r="AF49" s="549"/>
      <c r="AG49" s="549"/>
      <c r="AH49" s="549"/>
      <c r="AI49" s="549"/>
      <c r="AJ49" s="549"/>
      <c r="AK49" s="549"/>
      <c r="AL49" s="549"/>
      <c r="AM49" s="549"/>
    </row>
    <row r="50" spans="1:39" ht="14.4">
      <c r="AB50" s="555"/>
      <c r="AC50" s="555"/>
      <c r="AD50" s="555"/>
      <c r="AE50" s="555"/>
      <c r="AF50" s="549"/>
      <c r="AG50" s="549"/>
      <c r="AH50" s="549"/>
      <c r="AI50" s="549"/>
      <c r="AJ50" s="549"/>
      <c r="AK50" s="549"/>
      <c r="AL50" s="549"/>
      <c r="AM50" s="549"/>
    </row>
    <row r="51" spans="1:39" ht="14.4">
      <c r="AB51" s="555"/>
      <c r="AC51" s="555"/>
      <c r="AD51" s="555"/>
      <c r="AE51" s="555"/>
      <c r="AF51" s="549"/>
      <c r="AG51" s="549"/>
      <c r="AH51" s="549"/>
      <c r="AI51" s="549"/>
      <c r="AJ51" s="549"/>
      <c r="AK51" s="549"/>
      <c r="AL51" s="549"/>
      <c r="AM51" s="549"/>
    </row>
    <row r="52" spans="1:39" ht="14.4">
      <c r="AB52" s="555"/>
      <c r="AC52" s="555"/>
      <c r="AD52" s="555"/>
      <c r="AE52" s="555"/>
      <c r="AF52" s="549"/>
      <c r="AG52" s="549"/>
      <c r="AH52" s="549"/>
      <c r="AI52" s="549"/>
      <c r="AJ52" s="549"/>
      <c r="AK52" s="549"/>
      <c r="AL52" s="549"/>
      <c r="AM52" s="549"/>
    </row>
    <row r="53" spans="1:39" s="295" customFormat="1" ht="15.6">
      <c r="A53" s="304" t="s">
        <v>210</v>
      </c>
      <c r="D53" s="305" t="s">
        <v>169</v>
      </c>
      <c r="E53" s="305" t="s">
        <v>42</v>
      </c>
      <c r="F53" s="305" t="s">
        <v>44</v>
      </c>
      <c r="G53" s="305" t="s">
        <v>171</v>
      </c>
      <c r="H53" s="305" t="s">
        <v>51</v>
      </c>
      <c r="I53" s="305" t="s">
        <v>211</v>
      </c>
      <c r="J53" s="305" t="s">
        <v>46</v>
      </c>
      <c r="K53" s="305" t="s">
        <v>48</v>
      </c>
      <c r="L53" s="305" t="s">
        <v>49</v>
      </c>
      <c r="AB53" s="555"/>
      <c r="AC53" s="555"/>
      <c r="AD53" s="555"/>
      <c r="AE53" s="555"/>
      <c r="AF53" s="555"/>
      <c r="AG53" s="555"/>
      <c r="AH53" s="555"/>
      <c r="AI53" s="555"/>
      <c r="AJ53" s="555"/>
      <c r="AK53" s="555"/>
      <c r="AL53" s="555"/>
      <c r="AM53" s="555"/>
    </row>
    <row r="54" spans="1:39" s="295" customFormat="1" ht="14.4">
      <c r="B54" s="295" t="s">
        <v>214</v>
      </c>
      <c r="D54" s="306">
        <f>G38/H10</f>
        <v>0</v>
      </c>
      <c r="E54" s="306" t="e">
        <f>#REF!/#REF!</f>
        <v>#REF!</v>
      </c>
      <c r="F54" s="306" t="e">
        <f>#REF!/#REF!</f>
        <v>#REF!</v>
      </c>
      <c r="G54" s="306"/>
      <c r="H54" s="306">
        <f>L38/N10</f>
        <v>0</v>
      </c>
      <c r="I54" s="306">
        <f>M38/O10</f>
        <v>0</v>
      </c>
      <c r="J54" s="306">
        <f>H38/J10</f>
        <v>0</v>
      </c>
      <c r="K54" s="306">
        <f>I38/K10</f>
        <v>0</v>
      </c>
      <c r="L54" s="306">
        <f>J38/L10</f>
        <v>0</v>
      </c>
      <c r="AB54" s="555"/>
      <c r="AC54" s="555"/>
      <c r="AD54" s="555"/>
      <c r="AE54" s="555"/>
      <c r="AF54" s="555"/>
      <c r="AG54" s="555"/>
      <c r="AH54" s="555"/>
      <c r="AI54" s="555"/>
      <c r="AJ54" s="555"/>
      <c r="AK54" s="555"/>
      <c r="AL54" s="555"/>
      <c r="AM54" s="555"/>
    </row>
    <row r="55" spans="1:39" s="295" customFormat="1" ht="14.4">
      <c r="E55" s="307"/>
      <c r="F55" s="307"/>
      <c r="G55" s="307"/>
      <c r="H55" s="307"/>
      <c r="I55" s="307"/>
      <c r="J55" s="307"/>
      <c r="K55" s="307"/>
      <c r="L55" s="307"/>
      <c r="AB55" s="555"/>
      <c r="AC55" s="555"/>
      <c r="AD55" s="555"/>
      <c r="AE55" s="555"/>
      <c r="AF55" s="555"/>
      <c r="AG55" s="555"/>
      <c r="AH55" s="555"/>
      <c r="AI55" s="555"/>
      <c r="AJ55" s="555"/>
      <c r="AK55" s="555"/>
      <c r="AL55" s="555"/>
      <c r="AM55" s="555"/>
    </row>
    <row r="56" spans="1:39" s="295" customFormat="1" ht="14.4">
      <c r="B56" s="295" t="s">
        <v>219</v>
      </c>
      <c r="E56" s="308">
        <v>0.3</v>
      </c>
      <c r="F56" s="308">
        <v>0.3</v>
      </c>
      <c r="G56" s="308">
        <v>0.3</v>
      </c>
      <c r="H56" s="308">
        <v>0.3</v>
      </c>
      <c r="I56" s="308">
        <v>0.3</v>
      </c>
      <c r="J56" s="308">
        <v>0.3</v>
      </c>
      <c r="K56" s="308">
        <v>0.3</v>
      </c>
      <c r="L56" s="308">
        <v>0.3</v>
      </c>
      <c r="AB56" s="555"/>
      <c r="AC56" s="555"/>
      <c r="AD56" s="555"/>
      <c r="AE56" s="555"/>
      <c r="AF56" s="555"/>
      <c r="AG56" s="555"/>
      <c r="AH56" s="555"/>
      <c r="AI56" s="555"/>
      <c r="AJ56" s="555"/>
      <c r="AK56" s="555"/>
      <c r="AL56" s="555"/>
      <c r="AM56" s="555"/>
    </row>
    <row r="57" spans="1:39" s="295" customFormat="1" ht="14.4">
      <c r="E57" s="306">
        <v>1</v>
      </c>
      <c r="F57" s="306">
        <v>1</v>
      </c>
      <c r="G57" s="306">
        <v>1</v>
      </c>
      <c r="H57" s="306">
        <v>1</v>
      </c>
      <c r="I57" s="306">
        <v>1</v>
      </c>
      <c r="J57" s="306">
        <v>1</v>
      </c>
      <c r="K57" s="306">
        <v>1</v>
      </c>
      <c r="L57" s="306">
        <v>1</v>
      </c>
      <c r="AB57" s="555"/>
      <c r="AC57" s="555"/>
      <c r="AD57" s="555"/>
      <c r="AE57" s="555"/>
      <c r="AF57" s="555"/>
      <c r="AG57" s="555"/>
      <c r="AH57" s="555"/>
      <c r="AI57" s="555"/>
      <c r="AJ57" s="555"/>
      <c r="AK57" s="555"/>
      <c r="AL57" s="555"/>
      <c r="AM57" s="555"/>
    </row>
    <row r="58" spans="1:39" s="295" customFormat="1" ht="26.4">
      <c r="A58" s="309"/>
      <c r="B58" s="309" t="s">
        <v>40</v>
      </c>
      <c r="C58" s="310" t="s">
        <v>187</v>
      </c>
      <c r="D58" s="310" t="s">
        <v>188</v>
      </c>
      <c r="E58" s="310" t="s">
        <v>220</v>
      </c>
      <c r="F58" s="310" t="s">
        <v>190</v>
      </c>
      <c r="G58" s="310" t="s">
        <v>191</v>
      </c>
      <c r="H58" s="310" t="s">
        <v>42</v>
      </c>
      <c r="I58" s="310" t="s">
        <v>44</v>
      </c>
      <c r="J58" s="310" t="s">
        <v>171</v>
      </c>
      <c r="K58" s="310" t="s">
        <v>47</v>
      </c>
      <c r="L58" s="310" t="s">
        <v>48</v>
      </c>
      <c r="M58" s="310" t="s">
        <v>49</v>
      </c>
      <c r="N58" s="310" t="s">
        <v>50</v>
      </c>
      <c r="O58" s="310" t="s">
        <v>51</v>
      </c>
      <c r="P58" s="310" t="s">
        <v>52</v>
      </c>
      <c r="Q58" s="310" t="s">
        <v>53</v>
      </c>
      <c r="R58" s="310" t="s">
        <v>54</v>
      </c>
      <c r="S58" s="310" t="s">
        <v>193</v>
      </c>
      <c r="T58" s="310" t="s">
        <v>56</v>
      </c>
      <c r="U58" s="310" t="s">
        <v>57</v>
      </c>
      <c r="V58" s="310" t="s">
        <v>59</v>
      </c>
      <c r="W58" s="310" t="s">
        <v>221</v>
      </c>
      <c r="Y58" s="557" t="s">
        <v>42</v>
      </c>
      <c r="Z58" s="557" t="s">
        <v>44</v>
      </c>
      <c r="AA58" s="557" t="s">
        <v>171</v>
      </c>
      <c r="AB58" s="555"/>
      <c r="AC58" s="555"/>
      <c r="AD58" s="555"/>
      <c r="AE58" s="555"/>
      <c r="AF58" s="555"/>
      <c r="AG58" s="555"/>
      <c r="AH58" s="555"/>
      <c r="AI58" s="555"/>
      <c r="AJ58" s="555"/>
      <c r="AK58" s="555"/>
      <c r="AL58" s="555"/>
      <c r="AM58" s="555"/>
    </row>
    <row r="59" spans="1:39" s="295" customFormat="1" ht="14.4">
      <c r="A59" s="312"/>
      <c r="B59" s="312">
        <f t="shared" ref="B59:G68" si="5">B19</f>
        <v>0</v>
      </c>
      <c r="C59" s="313" t="str">
        <f t="shared" si="5"/>
        <v/>
      </c>
      <c r="D59" s="313">
        <f t="shared" si="5"/>
        <v>0</v>
      </c>
      <c r="E59" s="313">
        <f t="shared" si="5"/>
        <v>0</v>
      </c>
      <c r="F59" s="314" t="str">
        <f t="shared" si="5"/>
        <v xml:space="preserve"> </v>
      </c>
      <c r="G59" s="315" t="str">
        <f t="shared" si="5"/>
        <v xml:space="preserve"> </v>
      </c>
      <c r="H59" s="316" t="str">
        <f t="shared" ref="H59:H74" si="6">IF($B59&gt;0,(IF($C59="F",Y59*$G19,(Y59/($F19/100))*$G19))," ")</f>
        <v xml:space="preserve"> </v>
      </c>
      <c r="I59" s="316" t="str">
        <f t="shared" ref="I59:I74" si="7">IF($B59&gt;0,(IF($C59="F",Z59*$G19,(Z59/($F19/100))*$G19))," ")</f>
        <v xml:space="preserve"> </v>
      </c>
      <c r="J59" s="316" t="str">
        <f t="shared" ref="J59:J74" si="8">IF($B59&gt;0,(IF($C59="F",BB59*$G19,(BB59/($F19/100))*$G19))," ")</f>
        <v xml:space="preserve"> </v>
      </c>
      <c r="K59" s="315" t="str">
        <f t="shared" ref="K59:K74" si="9">IF($B59&gt;0,(IF($C59="F",H19*$G19,(H19/($F19/100))*$G19))," ")</f>
        <v xml:space="preserve"> </v>
      </c>
      <c r="L59" s="316" t="str">
        <f t="shared" ref="L59:L74" si="10">IF($B59&gt;0,(IF($C59="F",I19*$G19,(I19/($F19/100))*$G19))," ")</f>
        <v xml:space="preserve"> </v>
      </c>
      <c r="M59" s="316" t="str">
        <f t="shared" ref="M59:M74" si="11">IF($B59&gt;0,(IF($C59="F",J19*$G19,(J19/($F19/100))*$G19))," ")</f>
        <v xml:space="preserve"> </v>
      </c>
      <c r="N59" s="316" t="str">
        <f t="shared" ref="N59:N74" si="12">IF($B59&gt;0,(IF($C59="F",K19*$G19,(K19/($F19/100))*$G19))," ")</f>
        <v xml:space="preserve"> </v>
      </c>
      <c r="O59" s="316" t="str">
        <f t="shared" ref="O59:O74" si="13">IF($B59&gt;0,(IF($C59="F",L19*$G19,(L19/($F19/100))*$G19))," ")</f>
        <v xml:space="preserve"> </v>
      </c>
      <c r="P59" s="316" t="str">
        <f t="shared" ref="P59:P74" si="14">IF($B59&gt;0,(IF($C59="F",M19*$G19,(M19/($F19/100))*$G19))," ")</f>
        <v xml:space="preserve"> </v>
      </c>
      <c r="Q59" s="316" t="str">
        <f t="shared" ref="Q59:Q74" si="15">IF($B59&gt;0,(IF($C59="F",N19*$G19,(N19/($F19/100))*$G19))," ")</f>
        <v xml:space="preserve"> </v>
      </c>
      <c r="R59" s="316" t="str">
        <f t="shared" ref="R59:R74" si="16">IF($B59&gt;0,(IF($C59="F",O19*$G19,(O19/($F19/100))*$G19))," ")</f>
        <v xml:space="preserve"> </v>
      </c>
      <c r="S59" s="316" t="str">
        <f t="shared" ref="S59:S74" si="17">IF($B59&gt;0,(IF($C59="F",P19*$G19,(P19/($F19/100))*$G19))," ")</f>
        <v xml:space="preserve"> </v>
      </c>
      <c r="T59" s="316" t="str">
        <f t="shared" ref="T59:T74" si="18">IF($B59&gt;0,(IF($C59="F",Q19*$G19,(Q19/($F19/100))*$G19))," ")</f>
        <v xml:space="preserve"> </v>
      </c>
      <c r="U59" s="316" t="str">
        <f t="shared" ref="U59:U74" si="19">IF($B59&gt;0,(IF($C59="F",R19*$G19,(R19/($F19/100))*$G19))," ")</f>
        <v xml:space="preserve"> </v>
      </c>
      <c r="V59" s="316" t="str">
        <f t="shared" ref="V59:V74" si="20">IF($B59&gt;0,(IF($C59="F",S19*$G19,(S19/($F19/100))*$G19))," ")</f>
        <v xml:space="preserve"> </v>
      </c>
      <c r="W59" s="316" t="str">
        <f t="shared" ref="W59:W74" si="21">IF($B59&gt;0,(IF($C59="F",T19*$G19,(T19/($F19/100))*$G19))," ")</f>
        <v xml:space="preserve"> </v>
      </c>
      <c r="Y59" s="558" t="str">
        <f>IF(ISBLANK($B19)," ",VLOOKUP($B19,'Liste des aliments'!$C$6:$W$282,3,FALSE))</f>
        <v xml:space="preserve"> </v>
      </c>
      <c r="Z59" s="558" t="str">
        <f>IF(ISBLANK($B19)," ",VLOOKUP($B19,'Liste des aliments'!$C$6:$W$282,5,FALSE))</f>
        <v xml:space="preserve"> </v>
      </c>
      <c r="AA59" s="558" t="str">
        <f>IF(ISBLANK($B19)," ",VLOOKUP($B19,'Liste des aliments'!$C$6:$W$282,6,FALSE))</f>
        <v xml:space="preserve"> </v>
      </c>
    </row>
    <row r="60" spans="1:39" s="295" customFormat="1" ht="14.4">
      <c r="A60" s="312"/>
      <c r="B60" s="312">
        <f t="shared" si="5"/>
        <v>0</v>
      </c>
      <c r="C60" s="313" t="str">
        <f t="shared" si="5"/>
        <v/>
      </c>
      <c r="D60" s="313">
        <f t="shared" si="5"/>
        <v>0</v>
      </c>
      <c r="E60" s="313">
        <f t="shared" si="5"/>
        <v>0</v>
      </c>
      <c r="F60" s="314" t="str">
        <f t="shared" si="5"/>
        <v xml:space="preserve"> </v>
      </c>
      <c r="G60" s="315" t="str">
        <f t="shared" si="5"/>
        <v xml:space="preserve"> </v>
      </c>
      <c r="H60" s="316" t="str">
        <f t="shared" si="6"/>
        <v xml:space="preserve"> </v>
      </c>
      <c r="I60" s="316" t="str">
        <f t="shared" si="7"/>
        <v xml:space="preserve"> </v>
      </c>
      <c r="J60" s="316" t="str">
        <f t="shared" si="8"/>
        <v xml:space="preserve"> </v>
      </c>
      <c r="K60" s="315" t="str">
        <f t="shared" si="9"/>
        <v xml:space="preserve"> </v>
      </c>
      <c r="L60" s="316" t="str">
        <f t="shared" si="10"/>
        <v xml:space="preserve"> </v>
      </c>
      <c r="M60" s="316" t="str">
        <f t="shared" si="11"/>
        <v xml:space="preserve"> </v>
      </c>
      <c r="N60" s="316" t="str">
        <f t="shared" si="12"/>
        <v xml:space="preserve"> </v>
      </c>
      <c r="O60" s="316" t="str">
        <f t="shared" si="13"/>
        <v xml:space="preserve"> </v>
      </c>
      <c r="P60" s="316" t="str">
        <f t="shared" si="14"/>
        <v xml:space="preserve"> </v>
      </c>
      <c r="Q60" s="316" t="str">
        <f t="shared" si="15"/>
        <v xml:space="preserve"> </v>
      </c>
      <c r="R60" s="316" t="str">
        <f t="shared" si="16"/>
        <v xml:space="preserve"> </v>
      </c>
      <c r="S60" s="316" t="str">
        <f t="shared" si="17"/>
        <v xml:space="preserve"> </v>
      </c>
      <c r="T60" s="316" t="str">
        <f t="shared" si="18"/>
        <v xml:space="preserve"> </v>
      </c>
      <c r="U60" s="316" t="str">
        <f t="shared" si="19"/>
        <v xml:space="preserve"> </v>
      </c>
      <c r="V60" s="316" t="str">
        <f t="shared" si="20"/>
        <v xml:space="preserve"> </v>
      </c>
      <c r="W60" s="316" t="str">
        <f t="shared" si="21"/>
        <v xml:space="preserve"> </v>
      </c>
      <c r="Y60" s="558" t="str">
        <f>IF(ISBLANK($B20)," ",VLOOKUP($B20,'Liste des aliments'!$C$6:$W$282,3,FALSE))</f>
        <v xml:space="preserve"> </v>
      </c>
      <c r="Z60" s="558" t="str">
        <f>IF(ISBLANK($B20)," ",VLOOKUP($B20,'Liste des aliments'!$C$6:$W$282,5,FALSE))</f>
        <v xml:space="preserve"> </v>
      </c>
      <c r="AA60" s="558" t="str">
        <f>IF(ISBLANK($B20)," ",VLOOKUP($B20,'Liste des aliments'!$C$6:$W$282,6,FALSE))</f>
        <v xml:space="preserve"> </v>
      </c>
    </row>
    <row r="61" spans="1:39" s="295" customFormat="1" ht="14.4">
      <c r="A61" s="312"/>
      <c r="B61" s="312">
        <f t="shared" si="5"/>
        <v>0</v>
      </c>
      <c r="C61" s="313" t="str">
        <f t="shared" si="5"/>
        <v/>
      </c>
      <c r="D61" s="313">
        <f t="shared" si="5"/>
        <v>0</v>
      </c>
      <c r="E61" s="313">
        <f t="shared" si="5"/>
        <v>0</v>
      </c>
      <c r="F61" s="314" t="str">
        <f t="shared" si="5"/>
        <v xml:space="preserve"> </v>
      </c>
      <c r="G61" s="315" t="str">
        <f t="shared" si="5"/>
        <v xml:space="preserve"> </v>
      </c>
      <c r="H61" s="316" t="str">
        <f t="shared" si="6"/>
        <v xml:space="preserve"> </v>
      </c>
      <c r="I61" s="316" t="str">
        <f t="shared" si="7"/>
        <v xml:space="preserve"> </v>
      </c>
      <c r="J61" s="316" t="str">
        <f t="shared" si="8"/>
        <v xml:space="preserve"> </v>
      </c>
      <c r="K61" s="315" t="str">
        <f t="shared" si="9"/>
        <v xml:space="preserve"> </v>
      </c>
      <c r="L61" s="316" t="str">
        <f t="shared" si="10"/>
        <v xml:space="preserve"> </v>
      </c>
      <c r="M61" s="316" t="str">
        <f t="shared" si="11"/>
        <v xml:space="preserve"> </v>
      </c>
      <c r="N61" s="316" t="str">
        <f t="shared" si="12"/>
        <v xml:space="preserve"> </v>
      </c>
      <c r="O61" s="316" t="str">
        <f t="shared" si="13"/>
        <v xml:space="preserve"> </v>
      </c>
      <c r="P61" s="316" t="str">
        <f t="shared" si="14"/>
        <v xml:space="preserve"> </v>
      </c>
      <c r="Q61" s="316" t="str">
        <f t="shared" si="15"/>
        <v xml:space="preserve"> </v>
      </c>
      <c r="R61" s="316" t="str">
        <f t="shared" si="16"/>
        <v xml:space="preserve"> </v>
      </c>
      <c r="S61" s="316" t="str">
        <f t="shared" si="17"/>
        <v xml:space="preserve"> </v>
      </c>
      <c r="T61" s="316" t="str">
        <f t="shared" si="18"/>
        <v xml:space="preserve"> </v>
      </c>
      <c r="U61" s="316" t="str">
        <f t="shared" si="19"/>
        <v xml:space="preserve"> </v>
      </c>
      <c r="V61" s="316" t="str">
        <f t="shared" si="20"/>
        <v xml:space="preserve"> </v>
      </c>
      <c r="W61" s="316" t="str">
        <f t="shared" si="21"/>
        <v xml:space="preserve"> </v>
      </c>
      <c r="Y61" s="558" t="str">
        <f>IF(ISBLANK($B21)," ",VLOOKUP($B21,'Liste des aliments'!$C$6:$W$282,3,FALSE))</f>
        <v xml:space="preserve"> </v>
      </c>
      <c r="Z61" s="558" t="str">
        <f>IF(ISBLANK($B21)," ",VLOOKUP($B21,'Liste des aliments'!$C$6:$W$282,5,FALSE))</f>
        <v xml:space="preserve"> </v>
      </c>
      <c r="AA61" s="558" t="str">
        <f>IF(ISBLANK($B21)," ",VLOOKUP($B21,'Liste des aliments'!$C$6:$W$282,6,FALSE))</f>
        <v xml:space="preserve"> </v>
      </c>
    </row>
    <row r="62" spans="1:39" s="295" customFormat="1" ht="14.4">
      <c r="A62" s="312"/>
      <c r="B62" s="312">
        <f t="shared" si="5"/>
        <v>0</v>
      </c>
      <c r="C62" s="313" t="str">
        <f t="shared" si="5"/>
        <v/>
      </c>
      <c r="D62" s="313">
        <f t="shared" si="5"/>
        <v>0</v>
      </c>
      <c r="E62" s="313">
        <f t="shared" si="5"/>
        <v>0</v>
      </c>
      <c r="F62" s="314" t="str">
        <f t="shared" si="5"/>
        <v xml:space="preserve"> </v>
      </c>
      <c r="G62" s="315" t="str">
        <f t="shared" si="5"/>
        <v xml:space="preserve"> </v>
      </c>
      <c r="H62" s="316" t="str">
        <f t="shared" si="6"/>
        <v xml:space="preserve"> </v>
      </c>
      <c r="I62" s="316" t="str">
        <f t="shared" si="7"/>
        <v xml:space="preserve"> </v>
      </c>
      <c r="J62" s="316" t="str">
        <f t="shared" si="8"/>
        <v xml:space="preserve"> </v>
      </c>
      <c r="K62" s="315" t="str">
        <f t="shared" si="9"/>
        <v xml:space="preserve"> </v>
      </c>
      <c r="L62" s="316" t="str">
        <f t="shared" si="10"/>
        <v xml:space="preserve"> </v>
      </c>
      <c r="M62" s="316" t="str">
        <f t="shared" si="11"/>
        <v xml:space="preserve"> </v>
      </c>
      <c r="N62" s="316" t="str">
        <f t="shared" si="12"/>
        <v xml:space="preserve"> </v>
      </c>
      <c r="O62" s="316" t="str">
        <f t="shared" si="13"/>
        <v xml:space="preserve"> </v>
      </c>
      <c r="P62" s="316" t="str">
        <f t="shared" si="14"/>
        <v xml:space="preserve"> </v>
      </c>
      <c r="Q62" s="316" t="str">
        <f t="shared" si="15"/>
        <v xml:space="preserve"> </v>
      </c>
      <c r="R62" s="316" t="str">
        <f t="shared" si="16"/>
        <v xml:space="preserve"> </v>
      </c>
      <c r="S62" s="316" t="str">
        <f t="shared" si="17"/>
        <v xml:space="preserve"> </v>
      </c>
      <c r="T62" s="316" t="str">
        <f t="shared" si="18"/>
        <v xml:space="preserve"> </v>
      </c>
      <c r="U62" s="316" t="str">
        <f t="shared" si="19"/>
        <v xml:space="preserve"> </v>
      </c>
      <c r="V62" s="316" t="str">
        <f t="shared" si="20"/>
        <v xml:space="preserve"> </v>
      </c>
      <c r="W62" s="316" t="str">
        <f t="shared" si="21"/>
        <v xml:space="preserve"> </v>
      </c>
      <c r="Y62" s="558" t="str">
        <f>IF(ISBLANK($B22)," ",VLOOKUP($B22,'Liste des aliments'!$C$6:$W$282,3,FALSE))</f>
        <v xml:space="preserve"> </v>
      </c>
      <c r="Z62" s="558" t="str">
        <f>IF(ISBLANK($B22)," ",VLOOKUP($B22,'Liste des aliments'!$C$6:$W$282,5,FALSE))</f>
        <v xml:space="preserve"> </v>
      </c>
      <c r="AA62" s="558" t="str">
        <f>IF(ISBLANK($B22)," ",VLOOKUP($B22,'Liste des aliments'!$C$6:$W$282,6,FALSE))</f>
        <v xml:space="preserve"> </v>
      </c>
    </row>
    <row r="63" spans="1:39" s="295" customFormat="1" ht="14.4">
      <c r="A63" s="312"/>
      <c r="B63" s="312">
        <f t="shared" si="5"/>
        <v>0</v>
      </c>
      <c r="C63" s="313" t="str">
        <f t="shared" si="5"/>
        <v/>
      </c>
      <c r="D63" s="313">
        <f t="shared" si="5"/>
        <v>0</v>
      </c>
      <c r="E63" s="313">
        <f t="shared" si="5"/>
        <v>0</v>
      </c>
      <c r="F63" s="314" t="str">
        <f t="shared" si="5"/>
        <v xml:space="preserve"> </v>
      </c>
      <c r="G63" s="315" t="str">
        <f t="shared" si="5"/>
        <v xml:space="preserve"> </v>
      </c>
      <c r="H63" s="316" t="str">
        <f t="shared" si="6"/>
        <v xml:space="preserve"> </v>
      </c>
      <c r="I63" s="316" t="str">
        <f t="shared" si="7"/>
        <v xml:space="preserve"> </v>
      </c>
      <c r="J63" s="316" t="str">
        <f t="shared" si="8"/>
        <v xml:space="preserve"> </v>
      </c>
      <c r="K63" s="315" t="str">
        <f t="shared" si="9"/>
        <v xml:space="preserve"> </v>
      </c>
      <c r="L63" s="316" t="str">
        <f t="shared" si="10"/>
        <v xml:space="preserve"> </v>
      </c>
      <c r="M63" s="316" t="str">
        <f t="shared" si="11"/>
        <v xml:space="preserve"> </v>
      </c>
      <c r="N63" s="316" t="str">
        <f t="shared" si="12"/>
        <v xml:space="preserve"> </v>
      </c>
      <c r="O63" s="316" t="str">
        <f t="shared" si="13"/>
        <v xml:space="preserve"> </v>
      </c>
      <c r="P63" s="316" t="str">
        <f t="shared" si="14"/>
        <v xml:space="preserve"> </v>
      </c>
      <c r="Q63" s="316" t="str">
        <f t="shared" si="15"/>
        <v xml:space="preserve"> </v>
      </c>
      <c r="R63" s="316" t="str">
        <f t="shared" si="16"/>
        <v xml:space="preserve"> </v>
      </c>
      <c r="S63" s="316" t="str">
        <f t="shared" si="17"/>
        <v xml:space="preserve"> </v>
      </c>
      <c r="T63" s="316" t="str">
        <f t="shared" si="18"/>
        <v xml:space="preserve"> </v>
      </c>
      <c r="U63" s="316" t="str">
        <f t="shared" si="19"/>
        <v xml:space="preserve"> </v>
      </c>
      <c r="V63" s="316" t="str">
        <f t="shared" si="20"/>
        <v xml:space="preserve"> </v>
      </c>
      <c r="W63" s="316" t="str">
        <f t="shared" si="21"/>
        <v xml:space="preserve"> </v>
      </c>
      <c r="Y63" s="558" t="str">
        <f>IF(ISBLANK($B23)," ",VLOOKUP($B23,'Liste des aliments'!$C$6:$W$282,3,FALSE))</f>
        <v xml:space="preserve"> </v>
      </c>
      <c r="Z63" s="558" t="str">
        <f>IF(ISBLANK($B23)," ",VLOOKUP($B23,'Liste des aliments'!$C$6:$W$282,5,FALSE))</f>
        <v xml:space="preserve"> </v>
      </c>
      <c r="AA63" s="558" t="str">
        <f>IF(ISBLANK($B23)," ",VLOOKUP($B23,'Liste des aliments'!$C$6:$W$282,6,FALSE))</f>
        <v xml:space="preserve"> </v>
      </c>
    </row>
    <row r="64" spans="1:39" s="295" customFormat="1" ht="14.4">
      <c r="A64" s="312"/>
      <c r="B64" s="312">
        <f t="shared" si="5"/>
        <v>0</v>
      </c>
      <c r="C64" s="313" t="str">
        <f t="shared" si="5"/>
        <v/>
      </c>
      <c r="D64" s="313">
        <f t="shared" si="5"/>
        <v>0</v>
      </c>
      <c r="E64" s="313">
        <f t="shared" si="5"/>
        <v>0</v>
      </c>
      <c r="F64" s="314" t="str">
        <f t="shared" si="5"/>
        <v xml:space="preserve"> </v>
      </c>
      <c r="G64" s="315" t="str">
        <f t="shared" si="5"/>
        <v xml:space="preserve"> </v>
      </c>
      <c r="H64" s="316" t="str">
        <f t="shared" si="6"/>
        <v xml:space="preserve"> </v>
      </c>
      <c r="I64" s="316" t="str">
        <f t="shared" si="7"/>
        <v xml:space="preserve"> </v>
      </c>
      <c r="J64" s="316" t="str">
        <f t="shared" si="8"/>
        <v xml:space="preserve"> </v>
      </c>
      <c r="K64" s="315" t="str">
        <f t="shared" si="9"/>
        <v xml:space="preserve"> </v>
      </c>
      <c r="L64" s="316" t="str">
        <f t="shared" si="10"/>
        <v xml:space="preserve"> </v>
      </c>
      <c r="M64" s="316" t="str">
        <f t="shared" si="11"/>
        <v xml:space="preserve"> </v>
      </c>
      <c r="N64" s="316" t="str">
        <f t="shared" si="12"/>
        <v xml:space="preserve"> </v>
      </c>
      <c r="O64" s="316" t="str">
        <f t="shared" si="13"/>
        <v xml:space="preserve"> </v>
      </c>
      <c r="P64" s="316" t="str">
        <f t="shared" si="14"/>
        <v xml:space="preserve"> </v>
      </c>
      <c r="Q64" s="316" t="str">
        <f t="shared" si="15"/>
        <v xml:space="preserve"> </v>
      </c>
      <c r="R64" s="316" t="str">
        <f t="shared" si="16"/>
        <v xml:space="preserve"> </v>
      </c>
      <c r="S64" s="316" t="str">
        <f t="shared" si="17"/>
        <v xml:space="preserve"> </v>
      </c>
      <c r="T64" s="316" t="str">
        <f t="shared" si="18"/>
        <v xml:space="preserve"> </v>
      </c>
      <c r="U64" s="316" t="str">
        <f t="shared" si="19"/>
        <v xml:space="preserve"> </v>
      </c>
      <c r="V64" s="316" t="str">
        <f t="shared" si="20"/>
        <v xml:space="preserve"> </v>
      </c>
      <c r="W64" s="316" t="str">
        <f t="shared" si="21"/>
        <v xml:space="preserve"> </v>
      </c>
      <c r="Y64" s="558" t="str">
        <f>IF(ISBLANK($B24)," ",VLOOKUP($B24,'Liste des aliments'!$C$6:$W$282,3,FALSE))</f>
        <v xml:space="preserve"> </v>
      </c>
      <c r="Z64" s="558" t="str">
        <f>IF(ISBLANK($B24)," ",VLOOKUP($B24,'Liste des aliments'!$C$6:$W$282,5,FALSE))</f>
        <v xml:space="preserve"> </v>
      </c>
      <c r="AA64" s="558" t="str">
        <f>IF(ISBLANK($B24)," ",VLOOKUP($B24,'Liste des aliments'!$C$6:$W$282,6,FALSE))</f>
        <v xml:space="preserve"> </v>
      </c>
    </row>
    <row r="65" spans="1:27" s="295" customFormat="1" ht="14.4">
      <c r="A65" s="312"/>
      <c r="B65" s="312">
        <f t="shared" si="5"/>
        <v>0</v>
      </c>
      <c r="C65" s="313" t="str">
        <f t="shared" si="5"/>
        <v/>
      </c>
      <c r="D65" s="313">
        <f t="shared" si="5"/>
        <v>0</v>
      </c>
      <c r="E65" s="313">
        <f t="shared" si="5"/>
        <v>0</v>
      </c>
      <c r="F65" s="314" t="str">
        <f t="shared" si="5"/>
        <v xml:space="preserve"> </v>
      </c>
      <c r="G65" s="315" t="str">
        <f t="shared" si="5"/>
        <v xml:space="preserve"> </v>
      </c>
      <c r="H65" s="316" t="str">
        <f t="shared" si="6"/>
        <v xml:space="preserve"> </v>
      </c>
      <c r="I65" s="316" t="str">
        <f t="shared" si="7"/>
        <v xml:space="preserve"> </v>
      </c>
      <c r="J65" s="316" t="str">
        <f t="shared" si="8"/>
        <v xml:space="preserve"> </v>
      </c>
      <c r="K65" s="315" t="str">
        <f t="shared" si="9"/>
        <v xml:space="preserve"> </v>
      </c>
      <c r="L65" s="316" t="str">
        <f t="shared" si="10"/>
        <v xml:space="preserve"> </v>
      </c>
      <c r="M65" s="316" t="str">
        <f t="shared" si="11"/>
        <v xml:space="preserve"> </v>
      </c>
      <c r="N65" s="316" t="str">
        <f t="shared" si="12"/>
        <v xml:space="preserve"> </v>
      </c>
      <c r="O65" s="316" t="str">
        <f t="shared" si="13"/>
        <v xml:space="preserve"> </v>
      </c>
      <c r="P65" s="316" t="str">
        <f t="shared" si="14"/>
        <v xml:space="preserve"> </v>
      </c>
      <c r="Q65" s="316" t="str">
        <f t="shared" si="15"/>
        <v xml:space="preserve"> </v>
      </c>
      <c r="R65" s="316" t="str">
        <f t="shared" si="16"/>
        <v xml:space="preserve"> </v>
      </c>
      <c r="S65" s="316" t="str">
        <f t="shared" si="17"/>
        <v xml:space="preserve"> </v>
      </c>
      <c r="T65" s="316" t="str">
        <f t="shared" si="18"/>
        <v xml:space="preserve"> </v>
      </c>
      <c r="U65" s="316" t="str">
        <f t="shared" si="19"/>
        <v xml:space="preserve"> </v>
      </c>
      <c r="V65" s="316" t="str">
        <f t="shared" si="20"/>
        <v xml:space="preserve"> </v>
      </c>
      <c r="W65" s="316" t="str">
        <f t="shared" si="21"/>
        <v xml:space="preserve"> </v>
      </c>
      <c r="Y65" s="558" t="str">
        <f>IF(ISBLANK($B25)," ",VLOOKUP($B25,'Liste des aliments'!$C$6:$W$282,3,FALSE))</f>
        <v xml:space="preserve"> </v>
      </c>
      <c r="Z65" s="558" t="str">
        <f>IF(ISBLANK($B25)," ",VLOOKUP($B25,'Liste des aliments'!$C$6:$W$282,5,FALSE))</f>
        <v xml:space="preserve"> </v>
      </c>
      <c r="AA65" s="558" t="str">
        <f>IF(ISBLANK($B25)," ",VLOOKUP($B25,'Liste des aliments'!$C$6:$W$282,6,FALSE))</f>
        <v xml:space="preserve"> </v>
      </c>
    </row>
    <row r="66" spans="1:27" s="295" customFormat="1" ht="14.4">
      <c r="A66" s="312"/>
      <c r="B66" s="312">
        <f t="shared" si="5"/>
        <v>0</v>
      </c>
      <c r="C66" s="313" t="str">
        <f t="shared" si="5"/>
        <v/>
      </c>
      <c r="D66" s="313">
        <f t="shared" si="5"/>
        <v>0</v>
      </c>
      <c r="E66" s="313">
        <f t="shared" si="5"/>
        <v>0</v>
      </c>
      <c r="F66" s="314" t="str">
        <f t="shared" si="5"/>
        <v xml:space="preserve"> </v>
      </c>
      <c r="G66" s="315" t="str">
        <f t="shared" si="5"/>
        <v xml:space="preserve"> </v>
      </c>
      <c r="H66" s="316" t="str">
        <f t="shared" si="6"/>
        <v xml:space="preserve"> </v>
      </c>
      <c r="I66" s="316" t="str">
        <f t="shared" si="7"/>
        <v xml:space="preserve"> </v>
      </c>
      <c r="J66" s="316" t="str">
        <f t="shared" si="8"/>
        <v xml:space="preserve"> </v>
      </c>
      <c r="K66" s="315" t="str">
        <f t="shared" si="9"/>
        <v xml:space="preserve"> </v>
      </c>
      <c r="L66" s="316" t="str">
        <f t="shared" si="10"/>
        <v xml:space="preserve"> </v>
      </c>
      <c r="M66" s="316" t="str">
        <f t="shared" si="11"/>
        <v xml:space="preserve"> </v>
      </c>
      <c r="N66" s="316" t="str">
        <f t="shared" si="12"/>
        <v xml:space="preserve"> </v>
      </c>
      <c r="O66" s="316" t="str">
        <f t="shared" si="13"/>
        <v xml:space="preserve"> </v>
      </c>
      <c r="P66" s="316" t="str">
        <f t="shared" si="14"/>
        <v xml:space="preserve"> </v>
      </c>
      <c r="Q66" s="316" t="str">
        <f t="shared" si="15"/>
        <v xml:space="preserve"> </v>
      </c>
      <c r="R66" s="316" t="str">
        <f t="shared" si="16"/>
        <v xml:space="preserve"> </v>
      </c>
      <c r="S66" s="316" t="str">
        <f t="shared" si="17"/>
        <v xml:space="preserve"> </v>
      </c>
      <c r="T66" s="316" t="str">
        <f t="shared" si="18"/>
        <v xml:space="preserve"> </v>
      </c>
      <c r="U66" s="316" t="str">
        <f t="shared" si="19"/>
        <v xml:space="preserve"> </v>
      </c>
      <c r="V66" s="316" t="str">
        <f t="shared" si="20"/>
        <v xml:space="preserve"> </v>
      </c>
      <c r="W66" s="316" t="str">
        <f t="shared" si="21"/>
        <v xml:space="preserve"> </v>
      </c>
      <c r="Y66" s="558" t="str">
        <f>IF(ISBLANK($B26)," ",VLOOKUP($B26,'Liste des aliments'!$C$6:$W$282,3,FALSE))</f>
        <v xml:space="preserve"> </v>
      </c>
      <c r="Z66" s="558" t="str">
        <f>IF(ISBLANK($B26)," ",VLOOKUP($B26,'Liste des aliments'!$C$6:$W$282,5,FALSE))</f>
        <v xml:space="preserve"> </v>
      </c>
      <c r="AA66" s="558" t="str">
        <f>IF(ISBLANK($B26)," ",VLOOKUP($B26,'Liste des aliments'!$C$6:$W$282,6,FALSE))</f>
        <v xml:space="preserve"> </v>
      </c>
    </row>
    <row r="67" spans="1:27" s="295" customFormat="1" ht="14.4">
      <c r="A67" s="312"/>
      <c r="B67" s="312">
        <f t="shared" si="5"/>
        <v>0</v>
      </c>
      <c r="C67" s="313" t="str">
        <f t="shared" si="5"/>
        <v/>
      </c>
      <c r="D67" s="313">
        <f t="shared" si="5"/>
        <v>0</v>
      </c>
      <c r="E67" s="313">
        <f t="shared" si="5"/>
        <v>0</v>
      </c>
      <c r="F67" s="314" t="str">
        <f t="shared" si="5"/>
        <v xml:space="preserve"> </v>
      </c>
      <c r="G67" s="315" t="str">
        <f t="shared" si="5"/>
        <v xml:space="preserve"> </v>
      </c>
      <c r="H67" s="316" t="str">
        <f t="shared" si="6"/>
        <v xml:space="preserve"> </v>
      </c>
      <c r="I67" s="316" t="str">
        <f t="shared" si="7"/>
        <v xml:space="preserve"> </v>
      </c>
      <c r="J67" s="316" t="str">
        <f t="shared" si="8"/>
        <v xml:space="preserve"> </v>
      </c>
      <c r="K67" s="315" t="str">
        <f t="shared" si="9"/>
        <v xml:space="preserve"> </v>
      </c>
      <c r="L67" s="316" t="str">
        <f t="shared" si="10"/>
        <v xml:space="preserve"> </v>
      </c>
      <c r="M67" s="316" t="str">
        <f t="shared" si="11"/>
        <v xml:space="preserve"> </v>
      </c>
      <c r="N67" s="316" t="str">
        <f t="shared" si="12"/>
        <v xml:space="preserve"> </v>
      </c>
      <c r="O67" s="316" t="str">
        <f t="shared" si="13"/>
        <v xml:space="preserve"> </v>
      </c>
      <c r="P67" s="316" t="str">
        <f t="shared" si="14"/>
        <v xml:space="preserve"> </v>
      </c>
      <c r="Q67" s="316" t="str">
        <f t="shared" si="15"/>
        <v xml:space="preserve"> </v>
      </c>
      <c r="R67" s="316" t="str">
        <f t="shared" si="16"/>
        <v xml:space="preserve"> </v>
      </c>
      <c r="S67" s="316" t="str">
        <f t="shared" si="17"/>
        <v xml:space="preserve"> </v>
      </c>
      <c r="T67" s="316" t="str">
        <f t="shared" si="18"/>
        <v xml:space="preserve"> </v>
      </c>
      <c r="U67" s="316" t="str">
        <f t="shared" si="19"/>
        <v xml:space="preserve"> </v>
      </c>
      <c r="V67" s="316" t="str">
        <f t="shared" si="20"/>
        <v xml:space="preserve"> </v>
      </c>
      <c r="W67" s="316" t="str">
        <f t="shared" si="21"/>
        <v xml:space="preserve"> </v>
      </c>
      <c r="Y67" s="558" t="str">
        <f>IF(ISBLANK($B27)," ",VLOOKUP($B27,'Liste des aliments'!$C$6:$W$282,3,FALSE))</f>
        <v xml:space="preserve"> </v>
      </c>
      <c r="Z67" s="558" t="str">
        <f>IF(ISBLANK($B27)," ",VLOOKUP($B27,'Liste des aliments'!$C$6:$W$282,5,FALSE))</f>
        <v xml:space="preserve"> </v>
      </c>
      <c r="AA67" s="558" t="str">
        <f>IF(ISBLANK($B27)," ",VLOOKUP($B27,'Liste des aliments'!$C$6:$W$282,6,FALSE))</f>
        <v xml:space="preserve"> </v>
      </c>
    </row>
    <row r="68" spans="1:27" s="295" customFormat="1" ht="14.4">
      <c r="A68" s="312"/>
      <c r="B68" s="312">
        <f t="shared" si="5"/>
        <v>0</v>
      </c>
      <c r="C68" s="313" t="str">
        <f t="shared" si="5"/>
        <v/>
      </c>
      <c r="D68" s="313">
        <f t="shared" si="5"/>
        <v>0</v>
      </c>
      <c r="E68" s="313">
        <f t="shared" si="5"/>
        <v>0</v>
      </c>
      <c r="F68" s="314" t="str">
        <f t="shared" si="5"/>
        <v xml:space="preserve"> </v>
      </c>
      <c r="G68" s="315" t="str">
        <f t="shared" si="5"/>
        <v xml:space="preserve"> </v>
      </c>
      <c r="H68" s="316" t="str">
        <f t="shared" si="6"/>
        <v xml:space="preserve"> </v>
      </c>
      <c r="I68" s="316" t="str">
        <f t="shared" si="7"/>
        <v xml:space="preserve"> </v>
      </c>
      <c r="J68" s="316" t="str">
        <f t="shared" si="8"/>
        <v xml:space="preserve"> </v>
      </c>
      <c r="K68" s="315" t="str">
        <f t="shared" si="9"/>
        <v xml:space="preserve"> </v>
      </c>
      <c r="L68" s="316" t="str">
        <f t="shared" si="10"/>
        <v xml:space="preserve"> </v>
      </c>
      <c r="M68" s="316" t="str">
        <f t="shared" si="11"/>
        <v xml:space="preserve"> </v>
      </c>
      <c r="N68" s="316" t="str">
        <f t="shared" si="12"/>
        <v xml:space="preserve"> </v>
      </c>
      <c r="O68" s="316" t="str">
        <f t="shared" si="13"/>
        <v xml:space="preserve"> </v>
      </c>
      <c r="P68" s="316" t="str">
        <f t="shared" si="14"/>
        <v xml:space="preserve"> </v>
      </c>
      <c r="Q68" s="316" t="str">
        <f t="shared" si="15"/>
        <v xml:space="preserve"> </v>
      </c>
      <c r="R68" s="316" t="str">
        <f t="shared" si="16"/>
        <v xml:space="preserve"> </v>
      </c>
      <c r="S68" s="316" t="str">
        <f t="shared" si="17"/>
        <v xml:space="preserve"> </v>
      </c>
      <c r="T68" s="316" t="str">
        <f t="shared" si="18"/>
        <v xml:space="preserve"> </v>
      </c>
      <c r="U68" s="316" t="str">
        <f t="shared" si="19"/>
        <v xml:space="preserve"> </v>
      </c>
      <c r="V68" s="316" t="str">
        <f t="shared" si="20"/>
        <v xml:space="preserve"> </v>
      </c>
      <c r="W68" s="316" t="str">
        <f t="shared" si="21"/>
        <v xml:space="preserve"> </v>
      </c>
      <c r="Y68" s="558" t="str">
        <f>IF(ISBLANK($B28)," ",VLOOKUP($B28,'Liste des aliments'!$C$6:$W$282,3,FALSE))</f>
        <v xml:space="preserve"> </v>
      </c>
      <c r="Z68" s="558" t="str">
        <f>IF(ISBLANK($B28)," ",VLOOKUP($B28,'Liste des aliments'!$C$6:$W$282,5,FALSE))</f>
        <v xml:space="preserve"> </v>
      </c>
      <c r="AA68" s="558" t="str">
        <f>IF(ISBLANK($B28)," ",VLOOKUP($B28,'Liste des aliments'!$C$6:$W$282,6,FALSE))</f>
        <v xml:space="preserve"> </v>
      </c>
    </row>
    <row r="69" spans="1:27" s="295" customFormat="1" ht="14.4">
      <c r="A69" s="312"/>
      <c r="B69" s="312">
        <f t="shared" ref="B69:G74" si="22">B29</f>
        <v>0</v>
      </c>
      <c r="C69" s="313" t="str">
        <f t="shared" si="22"/>
        <v/>
      </c>
      <c r="D69" s="313">
        <f t="shared" si="22"/>
        <v>0</v>
      </c>
      <c r="E69" s="313">
        <f t="shared" si="22"/>
        <v>0</v>
      </c>
      <c r="F69" s="314" t="str">
        <f t="shared" si="22"/>
        <v xml:space="preserve"> </v>
      </c>
      <c r="G69" s="315" t="str">
        <f t="shared" si="22"/>
        <v xml:space="preserve"> </v>
      </c>
      <c r="H69" s="316" t="str">
        <f t="shared" si="6"/>
        <v xml:space="preserve"> </v>
      </c>
      <c r="I69" s="316" t="str">
        <f t="shared" si="7"/>
        <v xml:space="preserve"> </v>
      </c>
      <c r="J69" s="316" t="str">
        <f t="shared" si="8"/>
        <v xml:space="preserve"> </v>
      </c>
      <c r="K69" s="315" t="str">
        <f t="shared" si="9"/>
        <v xml:space="preserve"> </v>
      </c>
      <c r="L69" s="316" t="str">
        <f t="shared" si="10"/>
        <v xml:space="preserve"> </v>
      </c>
      <c r="M69" s="316" t="str">
        <f t="shared" si="11"/>
        <v xml:space="preserve"> </v>
      </c>
      <c r="N69" s="316" t="str">
        <f t="shared" si="12"/>
        <v xml:space="preserve"> </v>
      </c>
      <c r="O69" s="316" t="str">
        <f t="shared" si="13"/>
        <v xml:space="preserve"> </v>
      </c>
      <c r="P69" s="316" t="str">
        <f t="shared" si="14"/>
        <v xml:space="preserve"> </v>
      </c>
      <c r="Q69" s="316" t="str">
        <f t="shared" si="15"/>
        <v xml:space="preserve"> </v>
      </c>
      <c r="R69" s="316" t="str">
        <f t="shared" si="16"/>
        <v xml:space="preserve"> </v>
      </c>
      <c r="S69" s="316" t="str">
        <f t="shared" si="17"/>
        <v xml:space="preserve"> </v>
      </c>
      <c r="T69" s="316" t="str">
        <f t="shared" si="18"/>
        <v xml:space="preserve"> </v>
      </c>
      <c r="U69" s="316" t="str">
        <f t="shared" si="19"/>
        <v xml:space="preserve"> </v>
      </c>
      <c r="V69" s="316" t="str">
        <f t="shared" si="20"/>
        <v xml:space="preserve"> </v>
      </c>
      <c r="W69" s="316" t="str">
        <f t="shared" si="21"/>
        <v xml:space="preserve"> </v>
      </c>
      <c r="Y69" s="558" t="str">
        <f>IF(ISBLANK($B29)," ",VLOOKUP($B29,'Liste des aliments'!$C$6:$W$282,3,FALSE))</f>
        <v xml:space="preserve"> </v>
      </c>
      <c r="Z69" s="558" t="str">
        <f>IF(ISBLANK($B29)," ",VLOOKUP($B29,'Liste des aliments'!$C$6:$W$282,5,FALSE))</f>
        <v xml:space="preserve"> </v>
      </c>
      <c r="AA69" s="558" t="str">
        <f>IF(ISBLANK($B29)," ",VLOOKUP($B29,'Liste des aliments'!$C$6:$W$282,6,FALSE))</f>
        <v xml:space="preserve"> </v>
      </c>
    </row>
    <row r="70" spans="1:27" s="295" customFormat="1" ht="14.4">
      <c r="A70" s="312"/>
      <c r="B70" s="312">
        <f t="shared" si="22"/>
        <v>0</v>
      </c>
      <c r="C70" s="313" t="str">
        <f t="shared" si="22"/>
        <v/>
      </c>
      <c r="D70" s="313">
        <f t="shared" si="22"/>
        <v>0</v>
      </c>
      <c r="E70" s="313">
        <f t="shared" si="22"/>
        <v>0</v>
      </c>
      <c r="F70" s="314" t="str">
        <f t="shared" si="22"/>
        <v xml:space="preserve"> </v>
      </c>
      <c r="G70" s="315" t="str">
        <f t="shared" si="22"/>
        <v xml:space="preserve"> </v>
      </c>
      <c r="H70" s="316" t="str">
        <f t="shared" si="6"/>
        <v xml:space="preserve"> </v>
      </c>
      <c r="I70" s="316" t="str">
        <f t="shared" si="7"/>
        <v xml:space="preserve"> </v>
      </c>
      <c r="J70" s="316" t="str">
        <f t="shared" si="8"/>
        <v xml:space="preserve"> </v>
      </c>
      <c r="K70" s="315" t="str">
        <f t="shared" si="9"/>
        <v xml:space="preserve"> </v>
      </c>
      <c r="L70" s="316" t="str">
        <f t="shared" si="10"/>
        <v xml:space="preserve"> </v>
      </c>
      <c r="M70" s="316" t="str">
        <f t="shared" si="11"/>
        <v xml:space="preserve"> </v>
      </c>
      <c r="N70" s="316" t="str">
        <f t="shared" si="12"/>
        <v xml:space="preserve"> </v>
      </c>
      <c r="O70" s="316" t="str">
        <f t="shared" si="13"/>
        <v xml:space="preserve"> </v>
      </c>
      <c r="P70" s="316" t="str">
        <f t="shared" si="14"/>
        <v xml:space="preserve"> </v>
      </c>
      <c r="Q70" s="316" t="str">
        <f t="shared" si="15"/>
        <v xml:space="preserve"> </v>
      </c>
      <c r="R70" s="316" t="str">
        <f t="shared" si="16"/>
        <v xml:space="preserve"> </v>
      </c>
      <c r="S70" s="316" t="str">
        <f t="shared" si="17"/>
        <v xml:space="preserve"> </v>
      </c>
      <c r="T70" s="316" t="str">
        <f t="shared" si="18"/>
        <v xml:space="preserve"> </v>
      </c>
      <c r="U70" s="316" t="str">
        <f t="shared" si="19"/>
        <v xml:space="preserve"> </v>
      </c>
      <c r="V70" s="316" t="str">
        <f t="shared" si="20"/>
        <v xml:space="preserve"> </v>
      </c>
      <c r="W70" s="316" t="str">
        <f t="shared" si="21"/>
        <v xml:space="preserve"> </v>
      </c>
      <c r="Y70" s="558" t="str">
        <f>IF(ISBLANK($B30)," ",VLOOKUP($B30,'Liste des aliments'!$C$6:$W$282,3,FALSE))</f>
        <v xml:space="preserve"> </v>
      </c>
      <c r="Z70" s="558" t="str">
        <f>IF(ISBLANK($B30)," ",VLOOKUP($B30,'Liste des aliments'!$C$6:$W$282,5,FALSE))</f>
        <v xml:space="preserve"> </v>
      </c>
      <c r="AA70" s="558" t="str">
        <f>IF(ISBLANK($B30)," ",VLOOKUP($B30,'Liste des aliments'!$C$6:$W$282,6,FALSE))</f>
        <v xml:space="preserve"> </v>
      </c>
    </row>
    <row r="71" spans="1:27" s="295" customFormat="1" ht="14.4">
      <c r="A71" s="312"/>
      <c r="B71" s="312">
        <f t="shared" si="22"/>
        <v>0</v>
      </c>
      <c r="C71" s="313" t="str">
        <f t="shared" si="22"/>
        <v/>
      </c>
      <c r="D71" s="313">
        <f t="shared" si="22"/>
        <v>0</v>
      </c>
      <c r="E71" s="313">
        <f t="shared" si="22"/>
        <v>0</v>
      </c>
      <c r="F71" s="314" t="str">
        <f t="shared" si="22"/>
        <v xml:space="preserve"> </v>
      </c>
      <c r="G71" s="315" t="str">
        <f t="shared" si="22"/>
        <v xml:space="preserve"> </v>
      </c>
      <c r="H71" s="316" t="str">
        <f t="shared" si="6"/>
        <v xml:space="preserve"> </v>
      </c>
      <c r="I71" s="316" t="str">
        <f t="shared" si="7"/>
        <v xml:space="preserve"> </v>
      </c>
      <c r="J71" s="316" t="str">
        <f t="shared" si="8"/>
        <v xml:space="preserve"> </v>
      </c>
      <c r="K71" s="315" t="str">
        <f t="shared" si="9"/>
        <v xml:space="preserve"> </v>
      </c>
      <c r="L71" s="316" t="str">
        <f t="shared" si="10"/>
        <v xml:space="preserve"> </v>
      </c>
      <c r="M71" s="316" t="str">
        <f t="shared" si="11"/>
        <v xml:space="preserve"> </v>
      </c>
      <c r="N71" s="316" t="str">
        <f t="shared" si="12"/>
        <v xml:space="preserve"> </v>
      </c>
      <c r="O71" s="316" t="str">
        <f t="shared" si="13"/>
        <v xml:space="preserve"> </v>
      </c>
      <c r="P71" s="316" t="str">
        <f t="shared" si="14"/>
        <v xml:space="preserve"> </v>
      </c>
      <c r="Q71" s="316" t="str">
        <f t="shared" si="15"/>
        <v xml:space="preserve"> </v>
      </c>
      <c r="R71" s="316" t="str">
        <f t="shared" si="16"/>
        <v xml:space="preserve"> </v>
      </c>
      <c r="S71" s="316" t="str">
        <f t="shared" si="17"/>
        <v xml:space="preserve"> </v>
      </c>
      <c r="T71" s="316" t="str">
        <f t="shared" si="18"/>
        <v xml:space="preserve"> </v>
      </c>
      <c r="U71" s="316" t="str">
        <f t="shared" si="19"/>
        <v xml:space="preserve"> </v>
      </c>
      <c r="V71" s="316" t="str">
        <f t="shared" si="20"/>
        <v xml:space="preserve"> </v>
      </c>
      <c r="W71" s="316" t="str">
        <f t="shared" si="21"/>
        <v xml:space="preserve"> </v>
      </c>
      <c r="Y71" s="558" t="str">
        <f>IF(ISBLANK($B31)," ",VLOOKUP($B31,'Liste des aliments'!$C$6:$W$282,3,FALSE))</f>
        <v xml:space="preserve"> </v>
      </c>
      <c r="Z71" s="558" t="str">
        <f>IF(ISBLANK($B31)," ",VLOOKUP($B31,'Liste des aliments'!$C$6:$W$282,5,FALSE))</f>
        <v xml:space="preserve"> </v>
      </c>
      <c r="AA71" s="558" t="str">
        <f>IF(ISBLANK($B31)," ",VLOOKUP($B31,'Liste des aliments'!$C$6:$W$282,6,FALSE))</f>
        <v xml:space="preserve"> </v>
      </c>
    </row>
    <row r="72" spans="1:27" s="295" customFormat="1" ht="14.4">
      <c r="A72" s="312"/>
      <c r="B72" s="312">
        <f t="shared" si="22"/>
        <v>0</v>
      </c>
      <c r="C72" s="313" t="str">
        <f t="shared" si="22"/>
        <v/>
      </c>
      <c r="D72" s="313">
        <f t="shared" si="22"/>
        <v>0</v>
      </c>
      <c r="E72" s="313">
        <f t="shared" si="22"/>
        <v>0</v>
      </c>
      <c r="F72" s="314" t="str">
        <f t="shared" si="22"/>
        <v xml:space="preserve"> </v>
      </c>
      <c r="G72" s="315" t="str">
        <f t="shared" si="22"/>
        <v xml:space="preserve"> </v>
      </c>
      <c r="H72" s="316" t="str">
        <f t="shared" si="6"/>
        <v xml:space="preserve"> </v>
      </c>
      <c r="I72" s="316" t="str">
        <f t="shared" si="7"/>
        <v xml:space="preserve"> </v>
      </c>
      <c r="J72" s="316" t="str">
        <f t="shared" si="8"/>
        <v xml:space="preserve"> </v>
      </c>
      <c r="K72" s="315" t="str">
        <f t="shared" si="9"/>
        <v xml:space="preserve"> </v>
      </c>
      <c r="L72" s="316" t="str">
        <f t="shared" si="10"/>
        <v xml:space="preserve"> </v>
      </c>
      <c r="M72" s="316" t="str">
        <f t="shared" si="11"/>
        <v xml:space="preserve"> </v>
      </c>
      <c r="N72" s="316" t="str">
        <f t="shared" si="12"/>
        <v xml:space="preserve"> </v>
      </c>
      <c r="O72" s="316" t="str">
        <f t="shared" si="13"/>
        <v xml:space="preserve"> </v>
      </c>
      <c r="P72" s="316" t="str">
        <f t="shared" si="14"/>
        <v xml:space="preserve"> </v>
      </c>
      <c r="Q72" s="316" t="str">
        <f t="shared" si="15"/>
        <v xml:space="preserve"> </v>
      </c>
      <c r="R72" s="316" t="str">
        <f t="shared" si="16"/>
        <v xml:space="preserve"> </v>
      </c>
      <c r="S72" s="316" t="str">
        <f t="shared" si="17"/>
        <v xml:space="preserve"> </v>
      </c>
      <c r="T72" s="316" t="str">
        <f t="shared" si="18"/>
        <v xml:space="preserve"> </v>
      </c>
      <c r="U72" s="316" t="str">
        <f t="shared" si="19"/>
        <v xml:space="preserve"> </v>
      </c>
      <c r="V72" s="316" t="str">
        <f t="shared" si="20"/>
        <v xml:space="preserve"> </v>
      </c>
      <c r="W72" s="316" t="str">
        <f t="shared" si="21"/>
        <v xml:space="preserve"> </v>
      </c>
      <c r="Y72" s="558" t="str">
        <f>IF(ISBLANK($B32)," ",VLOOKUP($B32,'Liste des aliments'!$C$6:$W$282,3,FALSE))</f>
        <v xml:space="preserve"> </v>
      </c>
      <c r="Z72" s="558" t="str">
        <f>IF(ISBLANK($B32)," ",VLOOKUP($B32,'Liste des aliments'!$C$6:$W$282,5,FALSE))</f>
        <v xml:space="preserve"> </v>
      </c>
      <c r="AA72" s="558" t="str">
        <f>IF(ISBLANK($B32)," ",VLOOKUP($B32,'Liste des aliments'!$C$6:$W$282,6,FALSE))</f>
        <v xml:space="preserve"> </v>
      </c>
    </row>
    <row r="73" spans="1:27" s="295" customFormat="1" ht="14.4">
      <c r="A73" s="312"/>
      <c r="B73" s="312">
        <f t="shared" si="22"/>
        <v>0</v>
      </c>
      <c r="C73" s="313" t="str">
        <f t="shared" si="22"/>
        <v/>
      </c>
      <c r="D73" s="313">
        <f t="shared" si="22"/>
        <v>0</v>
      </c>
      <c r="E73" s="313">
        <f t="shared" si="22"/>
        <v>0</v>
      </c>
      <c r="F73" s="314" t="str">
        <f t="shared" si="22"/>
        <v xml:space="preserve"> </v>
      </c>
      <c r="G73" s="315" t="str">
        <f t="shared" si="22"/>
        <v xml:space="preserve"> </v>
      </c>
      <c r="H73" s="316" t="str">
        <f t="shared" si="6"/>
        <v xml:space="preserve"> </v>
      </c>
      <c r="I73" s="316" t="str">
        <f t="shared" si="7"/>
        <v xml:space="preserve"> </v>
      </c>
      <c r="J73" s="316" t="str">
        <f t="shared" si="8"/>
        <v xml:space="preserve"> </v>
      </c>
      <c r="K73" s="315" t="str">
        <f t="shared" si="9"/>
        <v xml:space="preserve"> </v>
      </c>
      <c r="L73" s="316" t="str">
        <f t="shared" si="10"/>
        <v xml:space="preserve"> </v>
      </c>
      <c r="M73" s="316" t="str">
        <f t="shared" si="11"/>
        <v xml:space="preserve"> </v>
      </c>
      <c r="N73" s="316" t="str">
        <f t="shared" si="12"/>
        <v xml:space="preserve"> </v>
      </c>
      <c r="O73" s="316" t="str">
        <f t="shared" si="13"/>
        <v xml:space="preserve"> </v>
      </c>
      <c r="P73" s="316" t="str">
        <f t="shared" si="14"/>
        <v xml:space="preserve"> </v>
      </c>
      <c r="Q73" s="316" t="str">
        <f t="shared" si="15"/>
        <v xml:space="preserve"> </v>
      </c>
      <c r="R73" s="316" t="str">
        <f t="shared" si="16"/>
        <v xml:space="preserve"> </v>
      </c>
      <c r="S73" s="316" t="str">
        <f t="shared" si="17"/>
        <v xml:space="preserve"> </v>
      </c>
      <c r="T73" s="316" t="str">
        <f t="shared" si="18"/>
        <v xml:space="preserve"> </v>
      </c>
      <c r="U73" s="316" t="str">
        <f t="shared" si="19"/>
        <v xml:space="preserve"> </v>
      </c>
      <c r="V73" s="316" t="str">
        <f t="shared" si="20"/>
        <v xml:space="preserve"> </v>
      </c>
      <c r="W73" s="316" t="str">
        <f t="shared" si="21"/>
        <v xml:space="preserve"> </v>
      </c>
      <c r="Y73" s="558" t="str">
        <f>IF(ISBLANK($B33)," ",VLOOKUP($B33,'Liste des aliments'!$C$6:$W$282,3,FALSE))</f>
        <v xml:space="preserve"> </v>
      </c>
      <c r="Z73" s="558" t="str">
        <f>IF(ISBLANK($B33)," ",VLOOKUP($B33,'Liste des aliments'!$C$6:$W$282,5,FALSE))</f>
        <v xml:space="preserve"> </v>
      </c>
      <c r="AA73" s="558" t="str">
        <f>IF(ISBLANK($B33)," ",VLOOKUP($B33,'Liste des aliments'!$C$6:$W$282,6,FALSE))</f>
        <v xml:space="preserve"> </v>
      </c>
    </row>
    <row r="74" spans="1:27" s="295" customFormat="1" ht="14.4">
      <c r="A74" s="312"/>
      <c r="B74" s="312">
        <f t="shared" si="22"/>
        <v>0</v>
      </c>
      <c r="C74" s="313" t="str">
        <f t="shared" si="22"/>
        <v/>
      </c>
      <c r="D74" s="313">
        <f t="shared" si="22"/>
        <v>0</v>
      </c>
      <c r="E74" s="313">
        <f t="shared" si="22"/>
        <v>0</v>
      </c>
      <c r="F74" s="314" t="str">
        <f t="shared" si="22"/>
        <v xml:space="preserve"> </v>
      </c>
      <c r="G74" s="315" t="str">
        <f t="shared" si="22"/>
        <v xml:space="preserve"> </v>
      </c>
      <c r="H74" s="316" t="str">
        <f t="shared" si="6"/>
        <v xml:space="preserve"> </v>
      </c>
      <c r="I74" s="316" t="str">
        <f t="shared" si="7"/>
        <v xml:space="preserve"> </v>
      </c>
      <c r="J74" s="316" t="str">
        <f t="shared" si="8"/>
        <v xml:space="preserve"> </v>
      </c>
      <c r="K74" s="315" t="str">
        <f t="shared" si="9"/>
        <v xml:space="preserve"> </v>
      </c>
      <c r="L74" s="316" t="str">
        <f t="shared" si="10"/>
        <v xml:space="preserve"> </v>
      </c>
      <c r="M74" s="316" t="str">
        <f t="shared" si="11"/>
        <v xml:space="preserve"> </v>
      </c>
      <c r="N74" s="316" t="str">
        <f t="shared" si="12"/>
        <v xml:space="preserve"> </v>
      </c>
      <c r="O74" s="316" t="str">
        <f t="shared" si="13"/>
        <v xml:space="preserve"> </v>
      </c>
      <c r="P74" s="316" t="str">
        <f t="shared" si="14"/>
        <v xml:space="preserve"> </v>
      </c>
      <c r="Q74" s="316" t="str">
        <f t="shared" si="15"/>
        <v xml:space="preserve"> </v>
      </c>
      <c r="R74" s="316" t="str">
        <f t="shared" si="16"/>
        <v xml:space="preserve"> </v>
      </c>
      <c r="S74" s="316" t="str">
        <f t="shared" si="17"/>
        <v xml:space="preserve"> </v>
      </c>
      <c r="T74" s="316" t="str">
        <f t="shared" si="18"/>
        <v xml:space="preserve"> </v>
      </c>
      <c r="U74" s="316" t="str">
        <f t="shared" si="19"/>
        <v xml:space="preserve"> </v>
      </c>
      <c r="V74" s="316" t="str">
        <f t="shared" si="20"/>
        <v xml:space="preserve"> </v>
      </c>
      <c r="W74" s="316" t="str">
        <f t="shared" si="21"/>
        <v xml:space="preserve"> </v>
      </c>
      <c r="Y74" s="558" t="str">
        <f>IF(ISBLANK($B34)," ",VLOOKUP($B34,'Liste des aliments'!$C$6:$W$282,3,FALSE))</f>
        <v xml:space="preserve"> </v>
      </c>
      <c r="Z74" s="558" t="str">
        <f>IF(ISBLANK($B34)," ",VLOOKUP($B34,'Liste des aliments'!$C$6:$W$282,5,FALSE))</f>
        <v xml:space="preserve"> </v>
      </c>
      <c r="AA74" s="558" t="str">
        <f>IF(ISBLANK($B34)," ",VLOOKUP($B34,'Liste des aliments'!$C$6:$W$282,6,FALSE))</f>
        <v xml:space="preserve"> </v>
      </c>
    </row>
    <row r="75" spans="1:27" s="295" customFormat="1">
      <c r="A75" s="312"/>
      <c r="B75" s="312"/>
      <c r="C75" s="312"/>
      <c r="D75" s="317">
        <f>SUM(D59:D74)</f>
        <v>0</v>
      </c>
      <c r="E75" s="318" t="e">
        <f>G75/D75</f>
        <v>#DIV/0!</v>
      </c>
      <c r="F75" s="312"/>
      <c r="G75" s="317">
        <f t="shared" ref="G75:W75" si="23">SUM(G59:G74)</f>
        <v>0</v>
      </c>
      <c r="H75" s="317">
        <f t="shared" si="23"/>
        <v>0</v>
      </c>
      <c r="I75" s="317">
        <f t="shared" si="23"/>
        <v>0</v>
      </c>
      <c r="J75" s="317">
        <f t="shared" si="23"/>
        <v>0</v>
      </c>
      <c r="K75" s="320">
        <f t="shared" si="23"/>
        <v>0</v>
      </c>
      <c r="L75" s="319">
        <f t="shared" si="23"/>
        <v>0</v>
      </c>
      <c r="M75" s="319">
        <f t="shared" si="23"/>
        <v>0</v>
      </c>
      <c r="N75" s="319">
        <f t="shared" si="23"/>
        <v>0</v>
      </c>
      <c r="O75" s="317">
        <f t="shared" si="23"/>
        <v>0</v>
      </c>
      <c r="P75" s="317">
        <f t="shared" si="23"/>
        <v>0</v>
      </c>
      <c r="Q75" s="319">
        <f t="shared" si="23"/>
        <v>0</v>
      </c>
      <c r="R75" s="319">
        <f t="shared" si="23"/>
        <v>0</v>
      </c>
      <c r="S75" s="319">
        <f t="shared" si="23"/>
        <v>0</v>
      </c>
      <c r="T75" s="319">
        <f t="shared" si="23"/>
        <v>0</v>
      </c>
      <c r="U75" s="319">
        <f t="shared" si="23"/>
        <v>0</v>
      </c>
      <c r="V75" s="319">
        <f t="shared" si="23"/>
        <v>0</v>
      </c>
      <c r="W75" s="320">
        <f t="shared" si="23"/>
        <v>0</v>
      </c>
    </row>
    <row r="76" spans="1:27" s="295" customFormat="1">
      <c r="H76" s="321" t="str">
        <f>IF(A76&gt;0,(IF($C$59="F",#REF!*$G$19,(#REF!/($F$19/100))*$G$19))," ")</f>
        <v xml:space="preserve"> </v>
      </c>
    </row>
    <row r="77" spans="1:27" s="295" customFormat="1">
      <c r="G77" s="559" t="s">
        <v>378</v>
      </c>
      <c r="H77" s="560" t="e">
        <f>H75/$G$38</f>
        <v>#DIV/0!</v>
      </c>
      <c r="I77" s="560" t="e">
        <f t="shared" ref="I77:J77" si="24">I75/$G$38</f>
        <v>#DIV/0!</v>
      </c>
      <c r="J77" s="560" t="e">
        <f t="shared" si="24"/>
        <v>#DIV/0!</v>
      </c>
    </row>
    <row r="78" spans="1:27" s="295" customFormat="1"/>
    <row r="79" spans="1:27" s="295" customFormat="1"/>
    <row r="80" spans="1:27" s="295" customFormat="1"/>
    <row r="81" s="295" customFormat="1"/>
    <row r="82" s="295" customFormat="1"/>
    <row r="83" s="295" customFormat="1"/>
    <row r="84" s="295" customFormat="1"/>
    <row r="85" s="295" customFormat="1"/>
    <row r="86" s="295" customFormat="1"/>
    <row r="87" s="295" customFormat="1"/>
    <row r="88" s="295" customFormat="1"/>
    <row r="89" s="295" customFormat="1"/>
    <row r="90" s="295" customFormat="1"/>
    <row r="91" s="295" customFormat="1"/>
    <row r="92" s="295" customFormat="1"/>
    <row r="93" s="295" customFormat="1"/>
  </sheetData>
  <sheetProtection algorithmName="SHA-512" hashValue="3i07fKILaB4y9fgHV//m5Djt2E9cj4NUkrRLfg3n8g6i88xT7MuqX4TvlGmJqrwJfj7EHsUB3YhziD01mp4Lww==" saltValue="A3aFR3+72XkV6JJOx42Ytg==" spinCount="100000" sheet="1" objects="1" scenarios="1"/>
  <sortState xmlns:xlrd2="http://schemas.microsoft.com/office/spreadsheetml/2017/richdata2" ref="AC22:AH50">
    <sortCondition ref="AF21:AF50"/>
  </sortState>
  <mergeCells count="6">
    <mergeCell ref="C3:F3"/>
    <mergeCell ref="C4:F4"/>
    <mergeCell ref="C5:F5"/>
    <mergeCell ref="B43:C43"/>
    <mergeCell ref="B1:X1"/>
    <mergeCell ref="O36:R36"/>
  </mergeCells>
  <conditionalFormatting sqref="G40:J40 L40:M40">
    <cfRule type="expression" dxfId="34" priority="3">
      <formula>G$38&gt;0.98</formula>
    </cfRule>
    <cfRule type="expression" dxfId="33" priority="4">
      <formula>G$38&lt;0.94</formula>
    </cfRule>
  </conditionalFormatting>
  <conditionalFormatting sqref="L5">
    <cfRule type="expression" dxfId="32" priority="2">
      <formula>$L$5&gt;$M$11</formula>
    </cfRule>
  </conditionalFormatting>
  <conditionalFormatting sqref="L6">
    <cfRule type="expression" dxfId="31" priority="1">
      <formula>$L$6&gt;105</formula>
    </cfRule>
  </conditionalFormatting>
  <conditionalFormatting sqref="O39">
    <cfRule type="expression" dxfId="30" priority="5">
      <formula>$O$39&lt;$O$42</formula>
    </cfRule>
    <cfRule type="expression" dxfId="29" priority="6">
      <formula>$O$39&gt;$O$43</formula>
    </cfRule>
  </conditionalFormatting>
  <conditionalFormatting sqref="P39">
    <cfRule type="expression" dxfId="28" priority="7">
      <formula>$P$39&lt;$P$42</formula>
    </cfRule>
  </conditionalFormatting>
  <conditionalFormatting sqref="Q39">
    <cfRule type="expression" dxfId="27" priority="8">
      <formula>$Q$39&lt;$Q$42</formula>
    </cfRule>
  </conditionalFormatting>
  <conditionalFormatting sqref="R39">
    <cfRule type="expression" dxfId="26" priority="9">
      <formula>$R$39&lt;$R$42</formula>
    </cfRule>
  </conditionalFormatting>
  <conditionalFormatting sqref="S39">
    <cfRule type="expression" dxfId="25" priority="10">
      <formula>$S$39&gt;$S$43</formula>
    </cfRule>
  </conditionalFormatting>
  <dataValidations count="3">
    <dataValidation type="list" allowBlank="1" showInputMessage="1" showErrorMessage="1" sqref="D11" xr:uid="{0568C26B-B8F1-48E5-8481-6A184E7F6097}">
      <formula1>$AB$20:$AB$28</formula1>
    </dataValidation>
    <dataValidation type="list" allowBlank="1" showInputMessage="1" showErrorMessage="1" sqref="D12" xr:uid="{095712C6-FA14-4A58-B57D-1AB49AA4D1B4}">
      <formula1>$AE$20:$AE$30</formula1>
    </dataValidation>
    <dataValidation type="list" allowBlank="1" showInputMessage="1" showErrorMessage="1" sqref="D13" xr:uid="{0350CA25-D335-428A-98E6-18D1098D0F23}">
      <formula1>$AC$20:$AC$23</formula1>
    </dataValidation>
  </dataValidations>
  <pageMargins left="0.7" right="0.7" top="0.75" bottom="0.75" header="0.3" footer="0.3"/>
  <pageSetup paperSize="9"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51DA796-081D-4AA6-8B34-41D654DE76EF}">
          <x14:formula1>
            <xm:f>'Liste des aliments'!$C$6:$C$966</xm:f>
          </x14:formula1>
          <xm:sqref>B19:B34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95C21-4F73-4D35-A982-D7A6C28A536E}">
  <sheetPr codeName="Feuil17">
    <tabColor rgb="FFFEFCCE"/>
  </sheetPr>
  <dimension ref="A2:H57"/>
  <sheetViews>
    <sheetView showGridLines="0" zoomScaleNormal="100" zoomScaleSheetLayoutView="145" workbookViewId="0">
      <selection activeCell="K6" sqref="K6"/>
    </sheetView>
  </sheetViews>
  <sheetFormatPr baseColWidth="10" defaultColWidth="11.44140625" defaultRowHeight="14.4"/>
  <cols>
    <col min="1" max="1" width="28.33203125" customWidth="1"/>
    <col min="2" max="2" width="10.109375" customWidth="1"/>
    <col min="3" max="3" width="9.109375" customWidth="1"/>
    <col min="4" max="4" width="8.6640625" customWidth="1"/>
    <col min="5" max="5" width="11.44140625" customWidth="1"/>
    <col min="6" max="6" width="6.109375" customWidth="1"/>
    <col min="7" max="7" width="12" customWidth="1"/>
    <col min="8" max="8" width="12.6640625" customWidth="1"/>
  </cols>
  <sheetData>
    <row r="2" spans="1:8" ht="24" customHeight="1">
      <c r="F2" s="40"/>
      <c r="G2" s="786">
        <f ca="1">TODAY()</f>
        <v>45922</v>
      </c>
      <c r="H2" s="786"/>
    </row>
    <row r="3" spans="1:8" s="32" customFormat="1" ht="12" customHeight="1">
      <c r="A3" s="19" t="s">
        <v>224</v>
      </c>
      <c r="B3" s="42"/>
      <c r="C3" s="42"/>
      <c r="G3" s="77"/>
    </row>
    <row r="4" spans="1:8" s="32" customFormat="1" ht="12" customHeight="1">
      <c r="A4" s="20" t="s">
        <v>225</v>
      </c>
      <c r="B4" s="42"/>
      <c r="C4" s="42"/>
    </row>
    <row r="5" spans="1:8" s="32" customFormat="1" ht="12" customHeight="1">
      <c r="A5" s="20" t="s">
        <v>226</v>
      </c>
      <c r="B5" s="42"/>
      <c r="C5" s="42"/>
    </row>
    <row r="6" spans="1:8" s="32" customFormat="1" ht="12" customHeight="1">
      <c r="A6" s="42" t="str">
        <f>_xlfn.CONCAT("Ration établie par : ",'   VR   '!C5:F5)</f>
        <v xml:space="preserve">Ration établie par : </v>
      </c>
      <c r="B6" s="42"/>
      <c r="C6" s="42"/>
    </row>
    <row r="7" spans="1:8" ht="5.25" customHeight="1"/>
    <row r="8" spans="1:8" ht="23.4">
      <c r="A8" s="783" t="str">
        <f>_xlfn.CONCAT("RATION : ",'   VR   '!C3:F3," - ",'   VR   '!C4:F4)</f>
        <v xml:space="preserve">RATION :  - </v>
      </c>
      <c r="B8" s="784"/>
      <c r="C8" s="784"/>
      <c r="D8" s="784"/>
      <c r="E8" s="784"/>
      <c r="F8" s="784"/>
      <c r="G8" s="784"/>
      <c r="H8" s="785"/>
    </row>
    <row r="10" spans="1:8" ht="12.9" customHeight="1">
      <c r="A10" s="21" t="s">
        <v>227</v>
      </c>
      <c r="B10" s="22"/>
      <c r="C10" s="23"/>
      <c r="D10" s="21" t="s">
        <v>260</v>
      </c>
      <c r="E10" s="22"/>
      <c r="F10" s="22"/>
      <c r="G10" s="22"/>
      <c r="H10" s="31"/>
    </row>
    <row r="11" spans="1:8" ht="12.9" customHeight="1">
      <c r="A11" s="23" t="s">
        <v>167</v>
      </c>
      <c r="B11" s="24">
        <f>'   VR   '!D9</f>
        <v>750</v>
      </c>
      <c r="C11" s="23"/>
      <c r="D11" s="23"/>
      <c r="E11" s="23"/>
      <c r="F11" s="23"/>
      <c r="G11" s="23"/>
      <c r="H11" s="32"/>
    </row>
    <row r="12" spans="1:8" ht="12.9" customHeight="1">
      <c r="A12" s="23" t="s">
        <v>363</v>
      </c>
      <c r="B12" s="24">
        <f>'   VR   '!D10</f>
        <v>950</v>
      </c>
      <c r="C12" s="23"/>
      <c r="D12" s="23"/>
      <c r="E12" s="23"/>
      <c r="F12" s="23"/>
      <c r="G12" s="23"/>
      <c r="H12" s="32"/>
    </row>
    <row r="13" spans="1:8" ht="12.9" customHeight="1">
      <c r="A13" s="23" t="s">
        <v>330</v>
      </c>
      <c r="B13" s="24">
        <f>'   VR   '!D11</f>
        <v>3</v>
      </c>
      <c r="C13" s="23"/>
      <c r="D13" s="23"/>
      <c r="E13" s="23"/>
      <c r="F13" s="23"/>
      <c r="G13" s="23"/>
      <c r="H13" s="32"/>
    </row>
    <row r="14" spans="1:8" ht="12.9" customHeight="1">
      <c r="A14" s="23" t="s">
        <v>368</v>
      </c>
      <c r="B14" s="24">
        <f>'   VR   '!D12</f>
        <v>5</v>
      </c>
      <c r="C14" s="23"/>
      <c r="D14" s="23"/>
      <c r="E14" s="23"/>
      <c r="F14" s="23"/>
      <c r="G14" s="23"/>
      <c r="H14" s="32"/>
    </row>
    <row r="15" spans="1:8" ht="12.9" customHeight="1">
      <c r="A15" s="23" t="s">
        <v>289</v>
      </c>
      <c r="B15" s="6">
        <f>'   VR   '!D14</f>
        <v>6</v>
      </c>
      <c r="C15" s="23"/>
      <c r="D15" s="23"/>
      <c r="E15" s="23"/>
      <c r="F15" s="23"/>
      <c r="G15" s="23"/>
      <c r="H15" s="32"/>
    </row>
    <row r="16" spans="1:8" ht="12.9" customHeight="1">
      <c r="A16" s="21" t="s">
        <v>232</v>
      </c>
      <c r="B16" s="26"/>
      <c r="C16" s="23"/>
      <c r="D16" s="23"/>
      <c r="E16" s="23"/>
      <c r="F16" s="23"/>
      <c r="G16" s="23"/>
      <c r="H16" s="32"/>
    </row>
    <row r="17" spans="1:8" ht="12.9" customHeight="1">
      <c r="A17" s="23" t="s">
        <v>233</v>
      </c>
      <c r="B17" s="27">
        <f>'   VR   '!T38</f>
        <v>0</v>
      </c>
      <c r="C17" s="23"/>
      <c r="D17" s="23"/>
      <c r="E17" s="23"/>
      <c r="F17" s="23"/>
      <c r="G17" s="23"/>
      <c r="H17" s="32"/>
    </row>
    <row r="18" spans="1:8" ht="12.9" customHeight="1">
      <c r="A18" s="23" t="s">
        <v>234</v>
      </c>
      <c r="B18" s="87">
        <f>'   VR   '!L4*100</f>
        <v>0</v>
      </c>
      <c r="C18" s="23"/>
      <c r="D18" s="23"/>
      <c r="E18" s="23"/>
      <c r="F18" s="23"/>
      <c r="G18" s="23"/>
      <c r="H18" s="32"/>
    </row>
    <row r="19" spans="1:8" ht="12.9" customHeight="1">
      <c r="A19" s="23" t="s">
        <v>282</v>
      </c>
      <c r="B19" s="28" t="e">
        <f>'   VR   '!L6</f>
        <v>#DIV/0!</v>
      </c>
      <c r="C19" s="23"/>
      <c r="D19" s="23"/>
      <c r="E19" s="23"/>
      <c r="F19" s="23"/>
      <c r="G19" s="23"/>
      <c r="H19" s="32"/>
    </row>
    <row r="20" spans="1:8" ht="12.9" customHeight="1">
      <c r="A20" s="23" t="s">
        <v>278</v>
      </c>
      <c r="B20" s="29" t="e">
        <f>'   VR   '!E38</f>
        <v>#DIV/0!</v>
      </c>
      <c r="C20" s="23"/>
      <c r="D20" s="23"/>
      <c r="E20" s="23"/>
      <c r="F20" s="23"/>
      <c r="G20" s="23"/>
      <c r="H20" s="32"/>
    </row>
    <row r="21" spans="1:8" ht="12.9" customHeight="1">
      <c r="A21" s="23"/>
      <c r="B21" s="23"/>
      <c r="C21" s="23"/>
      <c r="D21" s="23"/>
      <c r="E21" s="23"/>
      <c r="F21" s="23"/>
      <c r="G21" s="23"/>
      <c r="H21" s="32"/>
    </row>
    <row r="22" spans="1:8" ht="12.9" customHeight="1">
      <c r="A22" s="21" t="s">
        <v>186</v>
      </c>
      <c r="B22" s="22"/>
      <c r="C22" s="22"/>
      <c r="D22" s="22"/>
      <c r="E22" s="22"/>
      <c r="F22" s="22"/>
      <c r="G22" s="22"/>
      <c r="H22" s="31"/>
    </row>
    <row r="23" spans="1:8" ht="9" customHeight="1">
      <c r="A23" s="23"/>
      <c r="B23" s="23"/>
      <c r="C23" s="23"/>
      <c r="D23" s="23"/>
      <c r="E23" s="23"/>
      <c r="F23" s="23"/>
      <c r="G23" s="23"/>
    </row>
    <row r="24" spans="1:8" ht="17.399999999999999" customHeight="1">
      <c r="A24" s="72" t="s">
        <v>238</v>
      </c>
      <c r="B24" s="72" t="s">
        <v>188</v>
      </c>
      <c r="C24" s="72" t="s">
        <v>191</v>
      </c>
      <c r="D24" s="30"/>
      <c r="E24" s="23"/>
      <c r="F24" s="23"/>
      <c r="G24" s="23"/>
    </row>
    <row r="25" spans="1:8" ht="15" customHeight="1">
      <c r="A25" s="69" t="str">
        <f>IF(ISBLANK('   VR   '!B19),"",'   VR   '!B19)</f>
        <v/>
      </c>
      <c r="B25" s="70" t="str">
        <f>IF(ISBLANK('   VR   '!B19)," ",'   VR   '!D19)</f>
        <v xml:space="preserve"> </v>
      </c>
      <c r="C25" s="71" t="str">
        <f>'   VR   '!G19</f>
        <v xml:space="preserve"> </v>
      </c>
      <c r="D25" s="30"/>
      <c r="E25" s="38" t="s">
        <v>239</v>
      </c>
      <c r="F25" s="36">
        <f>'   VR   '!D38</f>
        <v>0</v>
      </c>
      <c r="G25" s="34" t="s">
        <v>240</v>
      </c>
    </row>
    <row r="26" spans="1:8" ht="15" customHeight="1">
      <c r="A26" s="69" t="str">
        <f>IF(ISBLANK('   VR   '!B20),"",'   VR   '!B20)</f>
        <v/>
      </c>
      <c r="B26" s="70" t="str">
        <f>IF(ISBLANK('   VR   '!B20)," ",'   VR   '!D20)</f>
        <v xml:space="preserve"> </v>
      </c>
      <c r="C26" s="71" t="str">
        <f>'   VR   '!G20</f>
        <v xml:space="preserve"> </v>
      </c>
      <c r="D26" s="30"/>
      <c r="E26" s="39" t="s">
        <v>241</v>
      </c>
      <c r="F26" s="37">
        <f>'   VR   '!G38</f>
        <v>0</v>
      </c>
      <c r="G26" s="35" t="s">
        <v>240</v>
      </c>
    </row>
    <row r="27" spans="1:8" ht="15" customHeight="1">
      <c r="A27" s="69" t="str">
        <f>IF(ISBLANK('   VR   '!B21),"",'   VR   '!B21)</f>
        <v/>
      </c>
      <c r="B27" s="70" t="str">
        <f>IF(ISBLANK('   VR   '!B21)," ",'   VR   '!D21)</f>
        <v xml:space="preserve"> </v>
      </c>
      <c r="C27" s="71" t="str">
        <f>'   VR   '!G21</f>
        <v xml:space="preserve"> </v>
      </c>
      <c r="D27" s="30"/>
      <c r="E27" s="23"/>
      <c r="F27" s="23"/>
      <c r="G27" s="23"/>
      <c r="H27" s="32"/>
    </row>
    <row r="28" spans="1:8" ht="15" customHeight="1">
      <c r="A28" s="69" t="str">
        <f>IF(ISBLANK('   VR   '!B22),"",'   VR   '!B22)</f>
        <v/>
      </c>
      <c r="B28" s="70" t="str">
        <f>IF(ISBLANK('   VR   '!B22)," ",'   VR   '!D22)</f>
        <v xml:space="preserve"> </v>
      </c>
      <c r="C28" s="71" t="str">
        <f>'   VR   '!G22</f>
        <v xml:space="preserve"> </v>
      </c>
      <c r="D28" s="30"/>
      <c r="E28" s="23"/>
      <c r="F28" s="23"/>
      <c r="G28" s="23"/>
      <c r="H28" s="32"/>
    </row>
    <row r="29" spans="1:8" ht="15" customHeight="1">
      <c r="A29" s="69" t="str">
        <f>IF(ISBLANK('   VR   '!B23),"",'   VR   '!B23)</f>
        <v/>
      </c>
      <c r="B29" s="70" t="str">
        <f>IF(ISBLANK('   VR   '!B23)," ",'   VR   '!D23)</f>
        <v xml:space="preserve"> </v>
      </c>
      <c r="C29" s="71" t="str">
        <f>'   VR   '!G23</f>
        <v xml:space="preserve"> </v>
      </c>
      <c r="D29" s="30"/>
      <c r="E29" s="23"/>
      <c r="F29" s="23"/>
      <c r="G29" s="23"/>
      <c r="H29" s="32"/>
    </row>
    <row r="30" spans="1:8" ht="15" customHeight="1">
      <c r="A30" s="69" t="str">
        <f>IF(ISBLANK('   VR   '!B24),"",'   VR   '!B24)</f>
        <v/>
      </c>
      <c r="B30" s="70" t="str">
        <f>IF(ISBLANK('   VR   '!B24)," ",'   VR   '!D24)</f>
        <v xml:space="preserve"> </v>
      </c>
      <c r="C30" s="71" t="str">
        <f>'   VR   '!G24</f>
        <v xml:space="preserve"> </v>
      </c>
      <c r="D30" s="30"/>
      <c r="E30" s="23"/>
      <c r="F30" s="23"/>
      <c r="G30" s="23"/>
      <c r="H30" s="32"/>
    </row>
    <row r="31" spans="1:8" ht="15" customHeight="1">
      <c r="A31" s="69" t="str">
        <f>IF(ISBLANK('   VR   '!B25),"",'   VR   '!B25)</f>
        <v/>
      </c>
      <c r="B31" s="70" t="str">
        <f>IF(ISBLANK('   VR   '!B25)," ",'   VR   '!D25)</f>
        <v xml:space="preserve"> </v>
      </c>
      <c r="C31" s="71" t="str">
        <f>'   VR   '!G25</f>
        <v xml:space="preserve"> </v>
      </c>
      <c r="D31" s="33"/>
      <c r="E31" s="32"/>
      <c r="F31" s="32"/>
      <c r="G31" s="32"/>
      <c r="H31" s="32"/>
    </row>
    <row r="32" spans="1:8" ht="15" customHeight="1">
      <c r="A32" s="69" t="str">
        <f>IF(ISBLANK('   VR   '!B26),"",'   VR   '!B26)</f>
        <v/>
      </c>
      <c r="B32" s="70" t="str">
        <f>IF(ISBLANK('   VR   '!B26)," ",'   VR   '!D26)</f>
        <v xml:space="preserve"> </v>
      </c>
      <c r="C32" s="71" t="str">
        <f>'   VR   '!G26</f>
        <v xml:space="preserve"> </v>
      </c>
      <c r="D32" s="33"/>
      <c r="E32" s="32"/>
      <c r="F32" s="32"/>
      <c r="G32" s="32"/>
      <c r="H32" s="32"/>
    </row>
    <row r="33" spans="1:8" ht="15" customHeight="1">
      <c r="A33" s="69" t="str">
        <f>IF(ISBLANK('   VR   '!B27),"",'   VR   '!B27)</f>
        <v/>
      </c>
      <c r="B33" s="70" t="str">
        <f>IF(ISBLANK('   VR   '!B27)," ",'   VR   '!D27)</f>
        <v xml:space="preserve"> </v>
      </c>
      <c r="C33" s="71" t="str">
        <f>'   VR   '!G27</f>
        <v xml:space="preserve"> </v>
      </c>
      <c r="D33" s="33"/>
      <c r="E33" s="32"/>
      <c r="F33" s="32"/>
      <c r="G33" s="32"/>
      <c r="H33" s="32"/>
    </row>
    <row r="34" spans="1:8" ht="15" customHeight="1">
      <c r="A34" s="69" t="str">
        <f>IF(ISBLANK('   VR   '!B28),"",'   VR   '!B28)</f>
        <v/>
      </c>
      <c r="B34" s="70" t="str">
        <f>IF(ISBLANK('   VR   '!B28)," ",'   VR   '!D28)</f>
        <v xml:space="preserve"> </v>
      </c>
      <c r="C34" s="71" t="str">
        <f>'   VR   '!G28</f>
        <v xml:space="preserve"> </v>
      </c>
      <c r="D34" s="33"/>
      <c r="E34" s="32"/>
      <c r="F34" s="32"/>
      <c r="G34" s="32"/>
      <c r="H34" s="32"/>
    </row>
    <row r="35" spans="1:8" ht="15" customHeight="1">
      <c r="A35" s="69" t="str">
        <f>IF(ISBLANK('   VR   '!B29),"",'   VR   '!B29)</f>
        <v/>
      </c>
      <c r="B35" s="70" t="str">
        <f>IF(ISBLANK('   VR   '!B29)," ",'   VR   '!D29)</f>
        <v xml:space="preserve"> </v>
      </c>
      <c r="C35" s="71" t="str">
        <f>'   VR   '!G29</f>
        <v xml:space="preserve"> </v>
      </c>
      <c r="D35" s="33"/>
      <c r="E35" s="32"/>
      <c r="F35" s="32"/>
      <c r="G35" s="32"/>
      <c r="H35" s="32"/>
    </row>
    <row r="36" spans="1:8" ht="15" customHeight="1">
      <c r="A36" s="69" t="str">
        <f>IF(ISBLANK('   VR   '!B30),"",'   VR   '!B30)</f>
        <v/>
      </c>
      <c r="B36" s="70" t="str">
        <f>IF(ISBLANK('   VR   '!B30)," ",'   VR   '!D30)</f>
        <v xml:space="preserve"> </v>
      </c>
      <c r="C36" s="71" t="str">
        <f>'   VR   '!G30</f>
        <v xml:space="preserve"> </v>
      </c>
      <c r="D36" s="33"/>
      <c r="E36" s="32"/>
      <c r="F36" s="32"/>
      <c r="G36" s="32"/>
      <c r="H36" s="32"/>
    </row>
    <row r="37" spans="1:8" ht="15" customHeight="1">
      <c r="A37" s="69" t="str">
        <f>IF(ISBLANK('   VR   '!B31),"",'   VR   '!B31)</f>
        <v/>
      </c>
      <c r="B37" s="70" t="str">
        <f>IF(ISBLANK('   VR   '!B31)," ",'   VR   '!D31)</f>
        <v xml:space="preserve"> </v>
      </c>
      <c r="C37" s="71" t="str">
        <f>'   VR   '!G31</f>
        <v xml:space="preserve"> </v>
      </c>
      <c r="D37" s="33"/>
      <c r="E37" s="32"/>
      <c r="F37" s="32"/>
      <c r="G37" s="32"/>
      <c r="H37" s="32"/>
    </row>
    <row r="38" spans="1:8" ht="15" customHeight="1">
      <c r="A38" s="69" t="str">
        <f>IF(ISBLANK('   VR   '!B32),"",'   VR   '!B32)</f>
        <v/>
      </c>
      <c r="B38" s="70" t="str">
        <f>IF(ISBLANK('   VR   '!B32)," ",'   VR   '!D32)</f>
        <v xml:space="preserve"> </v>
      </c>
      <c r="C38" s="71" t="str">
        <f>'   VR   '!G32</f>
        <v xml:space="preserve"> </v>
      </c>
      <c r="D38" s="33"/>
      <c r="E38" s="32"/>
      <c r="F38" s="32"/>
      <c r="G38" s="32"/>
      <c r="H38" s="32"/>
    </row>
    <row r="39" spans="1:8" ht="15" customHeight="1">
      <c r="A39" s="69" t="str">
        <f>IF(ISBLANK('   VR   '!B33),"",'   VR   '!B33)</f>
        <v/>
      </c>
      <c r="B39" s="70" t="str">
        <f>IF(ISBLANK('   VR   '!B33)," ",'   VR   '!D33)</f>
        <v xml:space="preserve"> </v>
      </c>
      <c r="C39" s="71" t="str">
        <f>'   VR   '!G33</f>
        <v xml:space="preserve"> </v>
      </c>
      <c r="D39" s="33"/>
      <c r="E39" s="32"/>
      <c r="F39" s="32"/>
      <c r="G39" s="32"/>
      <c r="H39" s="32"/>
    </row>
    <row r="40" spans="1:8" ht="15" customHeight="1">
      <c r="A40" s="69" t="str">
        <f>IF(ISBLANK('   VR   '!B34),"",'   VR   '!B34)</f>
        <v/>
      </c>
      <c r="B40" s="70" t="str">
        <f>IF(ISBLANK('   VR   '!B34)," ",'   VR   '!D34)</f>
        <v xml:space="preserve"> </v>
      </c>
      <c r="C40" s="71" t="str">
        <f>'   VR   '!G34</f>
        <v xml:space="preserve"> </v>
      </c>
      <c r="D40" s="32"/>
      <c r="E40" s="32"/>
      <c r="F40" s="32"/>
      <c r="G40" s="32"/>
      <c r="H40" s="32"/>
    </row>
    <row r="41" spans="1:8" ht="5.4" customHeight="1">
      <c r="A41" s="101"/>
      <c r="B41" s="102" t="str">
        <f>IF(ISBLANK('   VR   '!B35)," ",'   VR   '!D35)</f>
        <v xml:space="preserve"> </v>
      </c>
      <c r="C41" s="103" t="str">
        <f>'   VR   '!G35</f>
        <v xml:space="preserve"> </v>
      </c>
      <c r="D41" s="32"/>
      <c r="E41" s="32"/>
      <c r="F41" s="32"/>
      <c r="G41" s="32"/>
      <c r="H41" s="32"/>
    </row>
    <row r="42" spans="1:8" ht="12.9" customHeight="1">
      <c r="A42" s="78" t="s">
        <v>248</v>
      </c>
      <c r="B42" s="48"/>
      <c r="C42" s="48"/>
      <c r="D42" s="48"/>
      <c r="E42" s="48"/>
      <c r="F42" s="48"/>
      <c r="G42" s="48"/>
      <c r="H42" s="49"/>
    </row>
    <row r="43" spans="1:8" ht="4.2" customHeight="1">
      <c r="A43" s="50"/>
      <c r="H43" s="51"/>
    </row>
    <row r="44" spans="1:8" ht="12" customHeight="1">
      <c r="A44" s="52" t="s">
        <v>47</v>
      </c>
      <c r="B44" s="46" t="e">
        <f>'   VR   '!H39</f>
        <v>#DIV/0!</v>
      </c>
      <c r="C44" s="32"/>
      <c r="D44" s="100" t="s">
        <v>54</v>
      </c>
      <c r="E44" s="45" t="e">
        <f>'   VR   '!O39</f>
        <v>#DIV/0!</v>
      </c>
      <c r="F44" s="32" t="s">
        <v>249</v>
      </c>
      <c r="H44" s="51"/>
    </row>
    <row r="45" spans="1:8" ht="12" customHeight="1">
      <c r="A45" s="52" t="s">
        <v>48</v>
      </c>
      <c r="B45" s="45" t="e">
        <f>'   VR   '!I39</f>
        <v>#DIV/0!</v>
      </c>
      <c r="C45" s="32" t="s">
        <v>249</v>
      </c>
      <c r="D45" s="782" t="s">
        <v>379</v>
      </c>
      <c r="E45" s="782"/>
      <c r="F45" s="45" t="e">
        <f>'   VR   '!P39</f>
        <v>#DIV/0!</v>
      </c>
      <c r="G45" s="32" t="s">
        <v>249</v>
      </c>
      <c r="H45" s="51"/>
    </row>
    <row r="46" spans="1:8" ht="12" customHeight="1">
      <c r="A46" s="52" t="s">
        <v>49</v>
      </c>
      <c r="B46" s="45" t="e">
        <f>'   VR   '!J39</f>
        <v>#DIV/0!</v>
      </c>
      <c r="C46" s="32" t="s">
        <v>249</v>
      </c>
      <c r="D46" s="100" t="s">
        <v>56</v>
      </c>
      <c r="E46" s="100"/>
      <c r="F46" s="45" t="e">
        <f>'   VR   '!Q39</f>
        <v>#DIV/0!</v>
      </c>
      <c r="G46" s="32" t="s">
        <v>249</v>
      </c>
      <c r="H46" s="51"/>
    </row>
    <row r="47" spans="1:8" ht="12" customHeight="1">
      <c r="A47" s="52" t="s">
        <v>42</v>
      </c>
      <c r="B47" s="104" t="e">
        <f>'   VR   '!H77</f>
        <v>#DIV/0!</v>
      </c>
      <c r="D47" s="100" t="s">
        <v>57</v>
      </c>
      <c r="E47" s="100"/>
      <c r="F47" s="45" t="e">
        <f>'   VR   '!R39</f>
        <v>#DIV/0!</v>
      </c>
      <c r="G47" s="32" t="s">
        <v>249</v>
      </c>
      <c r="H47" s="51"/>
    </row>
    <row r="48" spans="1:8" ht="12" customHeight="1">
      <c r="A48" s="52" t="s">
        <v>44</v>
      </c>
      <c r="B48" s="104" t="e">
        <f>'   VR   '!I77</f>
        <v>#DIV/0!</v>
      </c>
      <c r="C48" s="32" t="s">
        <v>249</v>
      </c>
      <c r="D48" s="100" t="s">
        <v>51</v>
      </c>
      <c r="E48" s="100"/>
      <c r="F48" s="47" t="e">
        <f>'   VR   '!L39</f>
        <v>#DIV/0!</v>
      </c>
      <c r="G48" s="32" t="s">
        <v>249</v>
      </c>
      <c r="H48" s="51"/>
    </row>
    <row r="49" spans="1:8" ht="12" customHeight="1">
      <c r="A49" s="52" t="s">
        <v>171</v>
      </c>
      <c r="B49" s="104" t="e">
        <f>'   VR   '!J77</f>
        <v>#DIV/0!</v>
      </c>
      <c r="C49" s="32" t="s">
        <v>249</v>
      </c>
      <c r="D49" s="100" t="s">
        <v>52</v>
      </c>
      <c r="E49" s="100"/>
      <c r="F49" s="47" t="e">
        <f>'   VR   '!M39</f>
        <v>#DIV/0!</v>
      </c>
      <c r="G49" s="32" t="s">
        <v>249</v>
      </c>
      <c r="H49" s="51"/>
    </row>
    <row r="50" spans="1:8" ht="12" customHeight="1">
      <c r="A50" s="52" t="s">
        <v>250</v>
      </c>
      <c r="B50" s="45" t="e">
        <f>'   VR   '!K39</f>
        <v>#DIV/0!</v>
      </c>
      <c r="C50" s="32" t="s">
        <v>249</v>
      </c>
      <c r="D50" s="782" t="s">
        <v>251</v>
      </c>
      <c r="E50" s="782"/>
      <c r="F50" s="45" t="e">
        <f>'   VR   '!S39</f>
        <v>#DIV/0!</v>
      </c>
      <c r="G50" s="32" t="s">
        <v>249</v>
      </c>
      <c r="H50" s="51"/>
    </row>
    <row r="51" spans="1:8" ht="12" customHeight="1">
      <c r="A51" s="53" t="s">
        <v>192</v>
      </c>
      <c r="B51" s="54" t="e">
        <f>'   VR   '!N39</f>
        <v>#DIV/0!</v>
      </c>
      <c r="C51" s="31" t="s">
        <v>249</v>
      </c>
      <c r="D51" s="41"/>
      <c r="E51" s="41"/>
      <c r="F51" s="41"/>
      <c r="G51" s="41"/>
      <c r="H51" s="88"/>
    </row>
    <row r="52" spans="1:8" ht="7.5" customHeight="1"/>
    <row r="53" spans="1:8" ht="15" customHeight="1">
      <c r="A53" s="79" t="s">
        <v>252</v>
      </c>
      <c r="B53" s="64"/>
      <c r="C53" s="64"/>
      <c r="D53" s="64"/>
      <c r="E53" s="64"/>
      <c r="F53" s="64"/>
      <c r="G53" s="64"/>
      <c r="H53" s="65"/>
    </row>
    <row r="54" spans="1:8" ht="12.9" customHeight="1">
      <c r="A54" s="50"/>
      <c r="H54" s="66"/>
    </row>
    <row r="55" spans="1:8" ht="12" customHeight="1">
      <c r="A55" s="50"/>
      <c r="H55" s="66"/>
    </row>
    <row r="56" spans="1:8" ht="12" customHeight="1">
      <c r="A56" s="50"/>
      <c r="H56" s="66"/>
    </row>
    <row r="57" spans="1:8" ht="15" customHeight="1">
      <c r="A57" s="67"/>
      <c r="B57" s="41"/>
      <c r="C57" s="41"/>
      <c r="D57" s="41"/>
      <c r="E57" s="41"/>
      <c r="F57" s="41"/>
      <c r="G57" s="41"/>
      <c r="H57" s="55"/>
    </row>
  </sheetData>
  <sheetProtection algorithmName="SHA-512" hashValue="hKsf8ipYx4eFSK6MHdXqZEuTyEObrjb8p6kHWtLeG0G7/8lK/8btSFBvOwGc5KgYmdGHeCNDKnInYJUgjHqhsw==" saltValue="59k7SKuqW/uMP5I2+7bUcw==" spinCount="100000" sheet="1" objects="1" scenarios="1" selectLockedCells="1" selectUnlockedCells="1"/>
  <mergeCells count="4">
    <mergeCell ref="D50:E50"/>
    <mergeCell ref="G2:H2"/>
    <mergeCell ref="A8:H8"/>
    <mergeCell ref="D45:E45"/>
  </mergeCells>
  <pageMargins left="0.23622047244094491" right="0.23622047244094491" top="0.35433070866141736" bottom="0.35433070866141736" header="0.31496062992125984" footer="0.31496062992125984"/>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47236-B9EC-426B-A613-13987C14BF0C}">
  <sheetPr>
    <tabColor theme="0" tint="-0.249977111117893"/>
    <pageSetUpPr fitToPage="1"/>
  </sheetPr>
  <dimension ref="A1:AB95"/>
  <sheetViews>
    <sheetView showGridLines="0" zoomScaleNormal="100" workbookViewId="0">
      <selection activeCell="G18" sqref="G18"/>
    </sheetView>
  </sheetViews>
  <sheetFormatPr baseColWidth="10" defaultColWidth="11.44140625" defaultRowHeight="13.8"/>
  <cols>
    <col min="1" max="1" width="4.6640625" style="109" customWidth="1"/>
    <col min="2" max="2" width="33.88671875" style="109" customWidth="1"/>
    <col min="3" max="3" width="6.44140625" style="109" customWidth="1"/>
    <col min="4" max="5" width="8.6640625" style="109" customWidth="1"/>
    <col min="6" max="6" width="10.109375" style="109" customWidth="1"/>
    <col min="7" max="14" width="8.6640625" style="109" customWidth="1"/>
    <col min="15" max="15" width="9" style="109" customWidth="1"/>
    <col min="16" max="16" width="8.6640625" style="109" customWidth="1"/>
    <col min="17" max="17" width="10" style="109" customWidth="1"/>
    <col min="18" max="18" width="8.6640625" style="109" customWidth="1"/>
    <col min="19" max="19" width="11.109375" style="109" customWidth="1"/>
    <col min="20" max="22" width="8.6640625" style="109" customWidth="1"/>
    <col min="23" max="23" width="9.6640625" style="109" customWidth="1"/>
    <col min="24" max="24" width="11.44140625" style="109" customWidth="1"/>
    <col min="25" max="16384" width="11.44140625" style="109"/>
  </cols>
  <sheetData>
    <row r="1" spans="2:23" ht="25.5" customHeight="1">
      <c r="B1" s="775" t="s">
        <v>157</v>
      </c>
      <c r="C1" s="775"/>
      <c r="D1" s="775"/>
      <c r="E1" s="775"/>
      <c r="F1" s="775"/>
      <c r="G1" s="775"/>
      <c r="H1" s="775"/>
      <c r="I1" s="775"/>
      <c r="J1" s="775"/>
      <c r="K1" s="775"/>
      <c r="L1" s="775"/>
      <c r="M1" s="775"/>
      <c r="N1" s="775"/>
      <c r="O1" s="775"/>
      <c r="P1" s="775"/>
      <c r="Q1" s="775"/>
      <c r="R1" s="775"/>
      <c r="S1" s="775"/>
      <c r="T1" s="775"/>
      <c r="U1" s="775"/>
      <c r="V1" s="775"/>
      <c r="W1" s="775"/>
    </row>
    <row r="2" spans="2:23" ht="14.4" thickBot="1"/>
    <row r="3" spans="2:23" ht="16.8" thickTop="1" thickBot="1">
      <c r="B3" s="90" t="s">
        <v>158</v>
      </c>
      <c r="C3" s="777"/>
      <c r="D3" s="777"/>
      <c r="E3" s="777"/>
      <c r="F3" s="778"/>
      <c r="L3" s="724" t="s">
        <v>380</v>
      </c>
      <c r="M3" s="725"/>
      <c r="N3" s="686">
        <f>G40/H14</f>
        <v>0</v>
      </c>
      <c r="O3" s="792" t="s">
        <v>160</v>
      </c>
      <c r="P3" s="793"/>
      <c r="Q3" s="793"/>
      <c r="R3" s="793"/>
      <c r="S3" s="793"/>
      <c r="T3" s="793"/>
      <c r="U3" s="793"/>
      <c r="V3" s="111"/>
    </row>
    <row r="4" spans="2:23" ht="16.8" thickTop="1" thickBot="1">
      <c r="B4" s="92" t="s">
        <v>161</v>
      </c>
      <c r="C4" s="779"/>
      <c r="D4" s="779"/>
      <c r="E4" s="779"/>
      <c r="F4" s="779"/>
      <c r="I4" s="684"/>
      <c r="L4" s="723" t="s">
        <v>381</v>
      </c>
      <c r="M4" s="271"/>
      <c r="N4" s="701" t="e">
        <f>H40/I14</f>
        <v>#VALUE!</v>
      </c>
    </row>
    <row r="5" spans="2:23" ht="16.8" thickTop="1" thickBot="1">
      <c r="B5" s="91" t="s">
        <v>163</v>
      </c>
      <c r="C5" s="780"/>
      <c r="D5" s="780"/>
      <c r="E5" s="780"/>
      <c r="F5" s="781"/>
      <c r="I5" s="715"/>
      <c r="L5" s="270" t="s">
        <v>281</v>
      </c>
      <c r="M5" s="271"/>
      <c r="N5" s="702" t="e">
        <f>(J40-K40)/I40</f>
        <v>#DIV/0!</v>
      </c>
    </row>
    <row r="6" spans="2:23" ht="6" customHeight="1">
      <c r="O6" s="113"/>
    </row>
    <row r="7" spans="2:23" ht="15.6">
      <c r="B7" s="110" t="s">
        <v>382</v>
      </c>
      <c r="E7" s="794" t="s">
        <v>383</v>
      </c>
      <c r="I7" s="716"/>
    </row>
    <row r="8" spans="2:23" ht="6" customHeight="1" thickBot="1">
      <c r="E8" s="794"/>
    </row>
    <row r="9" spans="2:23" ht="16.2">
      <c r="B9" s="292" t="s">
        <v>384</v>
      </c>
      <c r="C9" s="289"/>
      <c r="D9" s="115">
        <v>60</v>
      </c>
      <c r="E9" s="680" t="s">
        <v>385</v>
      </c>
      <c r="F9" s="18" t="s">
        <v>168</v>
      </c>
      <c r="G9" s="18"/>
      <c r="H9" s="217" t="s">
        <v>169</v>
      </c>
      <c r="I9" s="218" t="s">
        <v>61</v>
      </c>
      <c r="J9" s="218" t="s">
        <v>46</v>
      </c>
      <c r="K9" s="218" t="s">
        <v>48</v>
      </c>
      <c r="L9" s="218" t="s">
        <v>49</v>
      </c>
      <c r="M9" s="218" t="s">
        <v>386</v>
      </c>
      <c r="N9" s="218" t="s">
        <v>51</v>
      </c>
      <c r="O9" s="219" t="s">
        <v>211</v>
      </c>
    </row>
    <row r="10" spans="2:23">
      <c r="B10" s="293" t="s">
        <v>387</v>
      </c>
      <c r="C10" s="290"/>
      <c r="D10" s="118">
        <v>2.5</v>
      </c>
      <c r="E10" s="680"/>
      <c r="F10" s="220" t="s">
        <v>175</v>
      </c>
      <c r="G10" s="221"/>
      <c r="H10" s="690" t="s">
        <v>332</v>
      </c>
      <c r="I10" s="691">
        <f>VLOOKUP(N85,S80:AB83,10)*(1.345-(0.0183*D13))</f>
        <v>2.5040149999999999</v>
      </c>
      <c r="J10" s="691">
        <f>0.033*D9^0.75</f>
        <v>0.71142214168690643</v>
      </c>
      <c r="K10" s="223">
        <f>2.5*D9^0.75</f>
        <v>53.895616794462605</v>
      </c>
      <c r="L10" s="223">
        <f>2.5*D9^0.75</f>
        <v>53.895616794462605</v>
      </c>
      <c r="M10" s="223" t="s">
        <v>332</v>
      </c>
      <c r="N10" s="223">
        <f>0.6*D9^0.75</f>
        <v>12.934948030671025</v>
      </c>
      <c r="O10" s="714">
        <f>0.35*D9^0.75</f>
        <v>7.5453863512247645</v>
      </c>
    </row>
    <row r="11" spans="2:23">
      <c r="B11" s="293" t="s">
        <v>388</v>
      </c>
      <c r="C11" s="290"/>
      <c r="D11" s="484" t="s">
        <v>389</v>
      </c>
      <c r="E11" s="680"/>
      <c r="F11" s="226" t="s">
        <v>179</v>
      </c>
      <c r="G11" s="227"/>
      <c r="H11" s="692" t="s">
        <v>332</v>
      </c>
      <c r="I11" s="228" t="s">
        <v>332</v>
      </c>
      <c r="J11" s="228" t="s">
        <v>332</v>
      </c>
      <c r="K11" s="228" t="s">
        <v>332</v>
      </c>
      <c r="L11" s="228" t="s">
        <v>332</v>
      </c>
      <c r="M11" s="228" t="s">
        <v>332</v>
      </c>
      <c r="N11" s="228" t="s">
        <v>332</v>
      </c>
      <c r="O11" s="231" t="s">
        <v>332</v>
      </c>
    </row>
    <row r="12" spans="2:23">
      <c r="B12" s="293" t="s">
        <v>390</v>
      </c>
      <c r="C12" s="290"/>
      <c r="D12" s="124">
        <v>250</v>
      </c>
      <c r="E12" s="680" t="s">
        <v>391</v>
      </c>
      <c r="F12" s="226" t="s">
        <v>392</v>
      </c>
      <c r="G12" s="227"/>
      <c r="H12" s="692" t="s">
        <v>332</v>
      </c>
      <c r="I12" s="228" t="s">
        <v>332</v>
      </c>
      <c r="J12" s="693">
        <f>VLOOKUP((_xlfn.XMATCH($D$11,$M$80:$M$83)),$S$80:$V$83,2)</f>
        <v>0.75</v>
      </c>
      <c r="K12" s="229">
        <f>VLOOKUP((_xlfn.XMATCH($D$11,$M$80:$M$83)),$S$80:$V$83,3)</f>
        <v>83.2</v>
      </c>
      <c r="L12" s="229">
        <f>VLOOKUP((_xlfn.XMATCH($D$11,$M$80:$M$83)),$S$80:$V$83,3)</f>
        <v>83.2</v>
      </c>
      <c r="M12" s="228" t="s">
        <v>332</v>
      </c>
      <c r="N12" s="229">
        <f>2.5*D14</f>
        <v>2.9749999999999996</v>
      </c>
      <c r="O12" s="231">
        <f>1.5*D14</f>
        <v>1.7849999999999999</v>
      </c>
    </row>
    <row r="13" spans="2:23">
      <c r="B13" s="293" t="s">
        <v>393</v>
      </c>
      <c r="C13" s="291"/>
      <c r="D13" s="681">
        <v>12</v>
      </c>
      <c r="F13" s="232" t="s">
        <v>394</v>
      </c>
      <c r="G13" s="233"/>
      <c r="H13" s="694" t="s">
        <v>332</v>
      </c>
      <c r="I13" s="234">
        <f>-(0.15*D15)</f>
        <v>0.09</v>
      </c>
      <c r="J13" s="695">
        <f>VLOOKUP(D10,G80:K87,VLOOKUP(N85,I91:J94,2))*-1</f>
        <v>-0.25611197100728633</v>
      </c>
      <c r="K13" s="234">
        <v>0</v>
      </c>
      <c r="L13" s="234">
        <v>0</v>
      </c>
      <c r="M13" s="228" t="s">
        <v>332</v>
      </c>
      <c r="N13" s="234" t="s">
        <v>332</v>
      </c>
      <c r="O13" s="235" t="s">
        <v>332</v>
      </c>
    </row>
    <row r="14" spans="2:23">
      <c r="B14" s="293" t="s">
        <v>395</v>
      </c>
      <c r="C14" s="687"/>
      <c r="D14" s="688">
        <f>VLOOKUP((_xlfn.XMATCH($D$11,$M$80:$M$83)),$S$80:$W$83,4)</f>
        <v>1.19</v>
      </c>
      <c r="E14" s="679"/>
      <c r="F14" s="232" t="s">
        <v>181</v>
      </c>
      <c r="G14" s="236"/>
      <c r="H14" s="696">
        <f>(VLOOKUP((_xlfn.XMATCH($D$11,$M$80:$M$83)),$S$80:$W$83,5))*(0.0362*D10^2-0.3218*D10+1.6395)*(1.345-(0.0183*D13))</f>
        <v>2.57975442</v>
      </c>
      <c r="I14" s="697">
        <f>SUM(I10:I13)</f>
        <v>2.5940149999999997</v>
      </c>
      <c r="J14" s="697">
        <f>SUM(J10:J13)</f>
        <v>1.2053101706796201</v>
      </c>
      <c r="K14" s="698">
        <f t="shared" ref="K14:L14" si="0">SUM(K10:K13)</f>
        <v>137.09561679446261</v>
      </c>
      <c r="L14" s="698">
        <f t="shared" si="0"/>
        <v>137.09561679446261</v>
      </c>
      <c r="M14" s="698">
        <v>-12</v>
      </c>
      <c r="N14" s="698">
        <f>SUM(N10:N13)</f>
        <v>15.909948030671025</v>
      </c>
      <c r="O14" s="699">
        <f>SUM(O10:O13)</f>
        <v>9.3303863512247638</v>
      </c>
    </row>
    <row r="15" spans="2:23" ht="15" thickBot="1">
      <c r="B15" s="294" t="s">
        <v>396</v>
      </c>
      <c r="C15" s="689"/>
      <c r="D15" s="212">
        <f>VLOOKUP(D10,G80:H87,2)</f>
        <v>-0.6</v>
      </c>
      <c r="E15" s="679"/>
      <c r="F15" s="232" t="s">
        <v>184</v>
      </c>
      <c r="G15" s="241"/>
      <c r="H15" s="242">
        <v>1</v>
      </c>
      <c r="I15" s="700">
        <f t="shared" ref="I15:M15" si="1">I14/$H$14</f>
        <v>1.0055278827664533</v>
      </c>
      <c r="J15" s="700">
        <f>J14/$H$14</f>
        <v>0.46721895748496095</v>
      </c>
      <c r="K15" s="243">
        <f>K14/$H$14</f>
        <v>53.142894428866846</v>
      </c>
      <c r="L15" s="243">
        <f>L14/$H$14</f>
        <v>53.142894428866846</v>
      </c>
      <c r="M15" s="243">
        <f t="shared" si="1"/>
        <v>-4.6516055586407328</v>
      </c>
      <c r="N15" s="243">
        <f>N14/H14</f>
        <v>6.1672335580962105</v>
      </c>
      <c r="O15" s="245">
        <f>O14/I14</f>
        <v>3.5968898989499927</v>
      </c>
      <c r="W15" s="125"/>
    </row>
    <row r="16" spans="2:23" ht="14.4">
      <c r="B16" s="683" t="s">
        <v>443</v>
      </c>
      <c r="E16" s="678"/>
      <c r="F16" s="127"/>
      <c r="G16" s="128"/>
      <c r="H16" s="122"/>
      <c r="I16" s="121"/>
      <c r="K16" s="121"/>
      <c r="L16" s="120"/>
      <c r="M16" s="120"/>
      <c r="N16" s="685"/>
      <c r="O16" s="121"/>
      <c r="P16" s="121"/>
      <c r="W16" s="125"/>
    </row>
    <row r="17" spans="1:26" ht="7.2" customHeight="1">
      <c r="W17" s="125"/>
    </row>
    <row r="18" spans="1:26" ht="16.2" customHeight="1">
      <c r="B18" s="110" t="s">
        <v>186</v>
      </c>
      <c r="E18" s="682"/>
      <c r="F18" s="129"/>
      <c r="M18" s="682"/>
    </row>
    <row r="19" spans="1:26" ht="6.75" customHeight="1" thickBot="1"/>
    <row r="20" spans="1:26" s="132" customFormat="1" ht="31.5" customHeight="1">
      <c r="A20" s="130"/>
      <c r="B20" s="267" t="s">
        <v>40</v>
      </c>
      <c r="C20" s="246" t="s">
        <v>187</v>
      </c>
      <c r="D20" s="246" t="s">
        <v>188</v>
      </c>
      <c r="E20" s="246" t="s">
        <v>189</v>
      </c>
      <c r="F20" s="246" t="s">
        <v>190</v>
      </c>
      <c r="G20" s="246" t="s">
        <v>191</v>
      </c>
      <c r="H20" s="246" t="s">
        <v>61</v>
      </c>
      <c r="I20" s="246" t="s">
        <v>46</v>
      </c>
      <c r="J20" s="246" t="s">
        <v>48</v>
      </c>
      <c r="K20" s="246" t="s">
        <v>49</v>
      </c>
      <c r="L20" s="246" t="s">
        <v>50</v>
      </c>
      <c r="M20" s="246" t="s">
        <v>51</v>
      </c>
      <c r="N20" s="246" t="s">
        <v>52</v>
      </c>
      <c r="O20" s="246" t="s">
        <v>192</v>
      </c>
      <c r="P20" s="246" t="s">
        <v>54</v>
      </c>
      <c r="Q20" s="246" t="s">
        <v>193</v>
      </c>
      <c r="R20" s="246" t="s">
        <v>56</v>
      </c>
      <c r="S20" s="246" t="s">
        <v>57</v>
      </c>
      <c r="T20" s="246" t="s">
        <v>59</v>
      </c>
      <c r="U20" s="131" t="s">
        <v>194</v>
      </c>
    </row>
    <row r="21" spans="1:26">
      <c r="A21" s="133"/>
      <c r="B21" s="134"/>
      <c r="C21" s="247" t="str">
        <f>IF(ISBLANK(B21),"",INDEX('Liste des aliments'!$B$6:$B$966,MATCH(B21,'Liste des aliments'!$C$6:$C$966,0)))</f>
        <v/>
      </c>
      <c r="D21" s="135"/>
      <c r="E21" s="136"/>
      <c r="F21" s="7" t="str">
        <f>IF(ISBLANK($B21)," ",VLOOKUP($B21,'Liste des aliments'!$C$6:$W$966,2,FALSE))</f>
        <v xml:space="preserve"> </v>
      </c>
      <c r="G21" s="8" t="str">
        <f>IF(ISBLANK(B21)," ",(D21*E21/100))</f>
        <v xml:space="preserve"> </v>
      </c>
      <c r="H21" s="8" t="str">
        <f>IF(ISBLANK($B21)," ",IF(C21="F",VLOOKUP($B21,'Liste des aliments'!$C$6:$X$966,22,FALSE),($L$91*$M$91)))</f>
        <v xml:space="preserve"> </v>
      </c>
      <c r="I21" s="8" t="str">
        <f>IF(ISBLANK($B21)," ",VLOOKUP($B21,'Liste des aliments'!$C$6:$W$966,7,FALSE))</f>
        <v xml:space="preserve"> </v>
      </c>
      <c r="J21" s="9" t="str">
        <f>IF(ISBLANK($B21)," ",VLOOKUP($B21,'Liste des aliments'!$C$6:$W$966,9,FALSE))</f>
        <v xml:space="preserve"> </v>
      </c>
      <c r="K21" s="9" t="str">
        <f>IF(ISBLANK($B21)," ",VLOOKUP($B21,'Liste des aliments'!$C$6:$W$966,10,FALSE))</f>
        <v xml:space="preserve"> </v>
      </c>
      <c r="L21" s="9" t="str">
        <f>IF(ISBLANK($B21)," ",VLOOKUP($B21,'Liste des aliments'!$C$6:$W$966,11,FALSE))</f>
        <v xml:space="preserve"> </v>
      </c>
      <c r="M21" s="7" t="str">
        <f>IF(ISBLANK($B21)," ",VLOOKUP($B21,'Liste des aliments'!$C$6:$W$966,12,FALSE))</f>
        <v xml:space="preserve"> </v>
      </c>
      <c r="N21" s="7" t="str">
        <f>IF(ISBLANK($B21)," ",VLOOKUP($B21,'Liste des aliments'!$C$6:$W$966,13,FALSE))</f>
        <v xml:space="preserve"> </v>
      </c>
      <c r="O21" s="9" t="str">
        <f>IF(ISBLANK($B21)," ",VLOOKUP($B21,'Liste des aliments'!$C$6:$W$966,14,FALSE))</f>
        <v xml:space="preserve"> </v>
      </c>
      <c r="P21" s="9" t="str">
        <f>IF(ISBLANK($B21)," ",VLOOKUP($B21,'Liste des aliments'!$C$6:$W$966,15,FALSE))</f>
        <v xml:space="preserve"> </v>
      </c>
      <c r="Q21" s="9" t="str">
        <f>IF(ISBLANK($B21)," ",VLOOKUP($B21,'Liste des aliments'!$C$6:$W$966,16,FALSE))</f>
        <v xml:space="preserve"> </v>
      </c>
      <c r="R21" s="9" t="str">
        <f>IF(ISBLANK($B21)," ",VLOOKUP($B21,'Liste des aliments'!$C$6:$W$966,17,FALSE))</f>
        <v xml:space="preserve"> </v>
      </c>
      <c r="S21" s="9" t="str">
        <f>IF(ISBLANK($B21)," ",VLOOKUP($B21,'Liste des aliments'!$C$6:$W$966,18,FALSE))</f>
        <v xml:space="preserve"> </v>
      </c>
      <c r="T21" s="9" t="str">
        <f>IF(ISBLANK($B21)," ",VLOOKUP($B21,'Liste des aliments'!$C$6:$W$966,20,FALSE))</f>
        <v xml:space="preserve"> </v>
      </c>
      <c r="U21" s="107"/>
    </row>
    <row r="22" spans="1:26">
      <c r="A22" s="133"/>
      <c r="B22" s="137"/>
      <c r="C22" s="89" t="str">
        <f>IF(ISBLANK(B22),"",INDEX('Liste des aliments'!$B$6:$B$966,MATCH(B22,'Liste des aliments'!$C$6:$C$966,0)))</f>
        <v/>
      </c>
      <c r="D22" s="138"/>
      <c r="E22" s="139"/>
      <c r="F22" s="13" t="str">
        <f>IF(ISBLANK($B22)," ",VLOOKUP($B22,'Liste des aliments'!$C$6:$W$966,2,FALSE))</f>
        <v xml:space="preserve"> </v>
      </c>
      <c r="G22" s="14" t="str">
        <f t="shared" ref="G22:G36" si="2">IF(ISBLANK(B22)," ",(D22*E22/100))</f>
        <v xml:space="preserve"> </v>
      </c>
      <c r="H22" s="14" t="str">
        <f>IF(ISBLANK($B22)," ",IF(C22="F",VLOOKUP($B22,'Liste des aliments'!$C$6:$X$966,22,FALSE),($L$91*$M$91)))</f>
        <v xml:space="preserve"> </v>
      </c>
      <c r="I22" s="14" t="str">
        <f>IF(ISBLANK($B22)," ",VLOOKUP($B22,'Liste des aliments'!$C$6:$W$966,7,FALSE))</f>
        <v xml:space="preserve"> </v>
      </c>
      <c r="J22" s="12" t="str">
        <f>IF(ISBLANK($B22)," ",VLOOKUP($B22,'Liste des aliments'!$C$6:$W$966,9,FALSE))</f>
        <v xml:space="preserve"> </v>
      </c>
      <c r="K22" s="12" t="str">
        <f>IF(ISBLANK($B22)," ",VLOOKUP($B22,'Liste des aliments'!$C$6:$W$966,10,FALSE))</f>
        <v xml:space="preserve"> </v>
      </c>
      <c r="L22" s="12" t="str">
        <f>IF(ISBLANK($B22)," ",VLOOKUP($B22,'Liste des aliments'!$C$6:$W$966,11,FALSE))</f>
        <v xml:space="preserve"> </v>
      </c>
      <c r="M22" s="13" t="str">
        <f>IF(ISBLANK($B22)," ",VLOOKUP($B22,'Liste des aliments'!$C$6:$W$966,12,FALSE))</f>
        <v xml:space="preserve"> </v>
      </c>
      <c r="N22" s="13" t="str">
        <f>IF(ISBLANK($B22)," ",VLOOKUP($B22,'Liste des aliments'!$C$6:$W$966,13,FALSE))</f>
        <v xml:space="preserve"> </v>
      </c>
      <c r="O22" s="12" t="str">
        <f>IF(ISBLANK($B22)," ",VLOOKUP($B22,'Liste des aliments'!$C$6:$W$966,14,FALSE))</f>
        <v xml:space="preserve"> </v>
      </c>
      <c r="P22" s="12" t="str">
        <f>IF(ISBLANK($B22)," ",VLOOKUP($B22,'Liste des aliments'!$C$6:$W$966,15,FALSE))</f>
        <v xml:space="preserve"> </v>
      </c>
      <c r="Q22" s="12" t="str">
        <f>IF(ISBLANK($B22)," ",VLOOKUP($B22,'Liste des aliments'!$C$6:$W$966,16,FALSE))</f>
        <v xml:space="preserve"> </v>
      </c>
      <c r="R22" s="12" t="str">
        <f>IF(ISBLANK($B22)," ",VLOOKUP($B22,'Liste des aliments'!$C$6:$W$966,17,FALSE))</f>
        <v xml:space="preserve"> </v>
      </c>
      <c r="S22" s="12" t="str">
        <f>IF(ISBLANK($B22)," ",VLOOKUP($B22,'Liste des aliments'!$C$6:$W$966,18,FALSE))</f>
        <v xml:space="preserve"> </v>
      </c>
      <c r="T22" s="12" t="str">
        <f>IF(ISBLANK($B22)," ",VLOOKUP($B22,'Liste des aliments'!$C$6:$W$966,20,FALSE))</f>
        <v xml:space="preserve"> </v>
      </c>
      <c r="U22" s="107"/>
    </row>
    <row r="23" spans="1:26">
      <c r="A23" s="133"/>
      <c r="B23" s="137"/>
      <c r="C23" s="89" t="str">
        <f>IF(ISBLANK(B23),"",INDEX('Liste des aliments'!$B$6:$B$966,MATCH(B23,'Liste des aliments'!$C$6:$C$966,0)))</f>
        <v/>
      </c>
      <c r="D23" s="138"/>
      <c r="E23" s="139"/>
      <c r="F23" s="13" t="str">
        <f>IF(ISBLANK($B23)," ",VLOOKUP($B23,'Liste des aliments'!$C$6:$W$966,2,FALSE))</f>
        <v xml:space="preserve"> </v>
      </c>
      <c r="G23" s="14" t="str">
        <f t="shared" si="2"/>
        <v xml:space="preserve"> </v>
      </c>
      <c r="H23" s="14" t="str">
        <f>IF(ISBLANK($B23)," ",IF(C23="F",VLOOKUP($B23,'Liste des aliments'!$C$6:$X$966,22,FALSE),($L$91*$M$91)))</f>
        <v xml:space="preserve"> </v>
      </c>
      <c r="I23" s="14" t="str">
        <f>IF(ISBLANK($B23)," ",VLOOKUP($B23,'Liste des aliments'!$C$6:$W$966,7,FALSE))</f>
        <v xml:space="preserve"> </v>
      </c>
      <c r="J23" s="12" t="str">
        <f>IF(ISBLANK($B23)," ",VLOOKUP($B23,'Liste des aliments'!$C$6:$W$966,9,FALSE))</f>
        <v xml:space="preserve"> </v>
      </c>
      <c r="K23" s="12" t="str">
        <f>IF(ISBLANK($B23)," ",VLOOKUP($B23,'Liste des aliments'!$C$6:$W$966,10,FALSE))</f>
        <v xml:space="preserve"> </v>
      </c>
      <c r="L23" s="12" t="str">
        <f>IF(ISBLANK($B23)," ",VLOOKUP($B23,'Liste des aliments'!$C$6:$W$966,11,FALSE))</f>
        <v xml:space="preserve"> </v>
      </c>
      <c r="M23" s="13" t="str">
        <f>IF(ISBLANK($B23)," ",VLOOKUP($B23,'Liste des aliments'!$C$6:$W$966,12,FALSE))</f>
        <v xml:space="preserve"> </v>
      </c>
      <c r="N23" s="13" t="str">
        <f>IF(ISBLANK($B23)," ",VLOOKUP($B23,'Liste des aliments'!$C$6:$W$966,13,FALSE))</f>
        <v xml:space="preserve"> </v>
      </c>
      <c r="O23" s="12" t="str">
        <f>IF(ISBLANK($B23)," ",VLOOKUP($B23,'Liste des aliments'!$C$6:$W$966,14,FALSE))</f>
        <v xml:space="preserve"> </v>
      </c>
      <c r="P23" s="12" t="str">
        <f>IF(ISBLANK($B23)," ",VLOOKUP($B23,'Liste des aliments'!$C$6:$W$966,15,FALSE))</f>
        <v xml:space="preserve"> </v>
      </c>
      <c r="Q23" s="12" t="str">
        <f>IF(ISBLANK($B23)," ",VLOOKUP($B23,'Liste des aliments'!$C$6:$W$966,16,FALSE))</f>
        <v xml:space="preserve"> </v>
      </c>
      <c r="R23" s="12" t="str">
        <f>IF(ISBLANK($B23)," ",VLOOKUP($B23,'Liste des aliments'!$C$6:$W$966,17,FALSE))</f>
        <v xml:space="preserve"> </v>
      </c>
      <c r="S23" s="12" t="str">
        <f>IF(ISBLANK($B23)," ",VLOOKUP($B23,'Liste des aliments'!$C$6:$W$966,18,FALSE))</f>
        <v xml:space="preserve"> </v>
      </c>
      <c r="T23" s="12" t="str">
        <f>IF(ISBLANK($B23)," ",VLOOKUP($B23,'Liste des aliments'!$C$6:$W$966,20,FALSE))</f>
        <v xml:space="preserve"> </v>
      </c>
      <c r="U23" s="107"/>
    </row>
    <row r="24" spans="1:26" ht="15.6">
      <c r="A24" s="133"/>
      <c r="B24" s="137"/>
      <c r="C24" s="89" t="str">
        <f>IF(ISBLANK(B24),"",INDEX('Liste des aliments'!$B$6:$B$966,MATCH(B24,'Liste des aliments'!$C$6:$C$966,0)))</f>
        <v/>
      </c>
      <c r="D24" s="138"/>
      <c r="E24" s="139"/>
      <c r="F24" s="13" t="str">
        <f>IF(ISBLANK($B24)," ",VLOOKUP($B24,'Liste des aliments'!$C$6:$W$966,2,FALSE))</f>
        <v xml:space="preserve"> </v>
      </c>
      <c r="G24" s="14" t="str">
        <f t="shared" si="2"/>
        <v xml:space="preserve"> </v>
      </c>
      <c r="H24" s="14" t="str">
        <f>IF(ISBLANK($B24)," ",IF(C24="F",VLOOKUP($B24,'Liste des aliments'!$C$6:$X$966,22,FALSE),($L$91*$M$91)))</f>
        <v xml:space="preserve"> </v>
      </c>
      <c r="I24" s="14" t="str">
        <f>IF(ISBLANK($B24)," ",VLOOKUP($B24,'Liste des aliments'!$C$6:$W$966,7,FALSE))</f>
        <v xml:space="preserve"> </v>
      </c>
      <c r="J24" s="12" t="str">
        <f>IF(ISBLANK($B24)," ",VLOOKUP($B24,'Liste des aliments'!$C$6:$W$966,9,FALSE))</f>
        <v xml:space="preserve"> </v>
      </c>
      <c r="K24" s="12" t="str">
        <f>IF(ISBLANK($B24)," ",VLOOKUP($B24,'Liste des aliments'!$C$6:$W$966,10,FALSE))</f>
        <v xml:space="preserve"> </v>
      </c>
      <c r="L24" s="12" t="str">
        <f>IF(ISBLANK($B24)," ",VLOOKUP($B24,'Liste des aliments'!$C$6:$W$966,11,FALSE))</f>
        <v xml:space="preserve"> </v>
      </c>
      <c r="M24" s="13" t="str">
        <f>IF(ISBLANK($B24)," ",VLOOKUP($B24,'Liste des aliments'!$C$6:$W$966,12,FALSE))</f>
        <v xml:space="preserve"> </v>
      </c>
      <c r="N24" s="13" t="str">
        <f>IF(ISBLANK($B24)," ",VLOOKUP($B24,'Liste des aliments'!$C$6:$W$966,13,FALSE))</f>
        <v xml:space="preserve"> </v>
      </c>
      <c r="O24" s="12" t="str">
        <f>IF(ISBLANK($B24)," ",VLOOKUP($B24,'Liste des aliments'!$C$6:$W$966,14,FALSE))</f>
        <v xml:space="preserve"> </v>
      </c>
      <c r="P24" s="12" t="str">
        <f>IF(ISBLANK($B24)," ",VLOOKUP($B24,'Liste des aliments'!$C$6:$W$966,15,FALSE))</f>
        <v xml:space="preserve"> </v>
      </c>
      <c r="Q24" s="12" t="str">
        <f>IF(ISBLANK($B24)," ",VLOOKUP($B24,'Liste des aliments'!$C$6:$W$966,16,FALSE))</f>
        <v xml:space="preserve"> </v>
      </c>
      <c r="R24" s="12" t="str">
        <f>IF(ISBLANK($B24)," ",VLOOKUP($B24,'Liste des aliments'!$C$6:$W$966,17,FALSE))</f>
        <v xml:space="preserve"> </v>
      </c>
      <c r="S24" s="12" t="str">
        <f>IF(ISBLANK($B24)," ",VLOOKUP($B24,'Liste des aliments'!$C$6:$W$966,18,FALSE))</f>
        <v xml:space="preserve"> </v>
      </c>
      <c r="T24" s="12" t="str">
        <f>IF(ISBLANK($B24)," ",VLOOKUP($B24,'Liste des aliments'!$C$6:$W$966,20,FALSE))</f>
        <v xml:space="preserve"> </v>
      </c>
      <c r="U24" s="107"/>
      <c r="Z24" s="141"/>
    </row>
    <row r="25" spans="1:26">
      <c r="A25" s="133"/>
      <c r="B25" s="137"/>
      <c r="C25" s="89" t="str">
        <f>IF(ISBLANK(B25),"",INDEX('Liste des aliments'!$B$6:$B$966,MATCH(B25,'Liste des aliments'!$C$6:$C$966,0)))</f>
        <v/>
      </c>
      <c r="D25" s="138"/>
      <c r="E25" s="139"/>
      <c r="F25" s="13" t="str">
        <f>IF(ISBLANK($B25)," ",VLOOKUP($B25,'Liste des aliments'!$C$6:$W$966,2,FALSE))</f>
        <v xml:space="preserve"> </v>
      </c>
      <c r="G25" s="14" t="str">
        <f t="shared" si="2"/>
        <v xml:space="preserve"> </v>
      </c>
      <c r="H25" s="14" t="str">
        <f>IF(ISBLANK($B25)," ",IF(C25="F",VLOOKUP($B25,'Liste des aliments'!$C$6:$X$966,22,FALSE),($L$91*$M$91)))</f>
        <v xml:space="preserve"> </v>
      </c>
      <c r="I25" s="14" t="str">
        <f>IF(ISBLANK($B25)," ",VLOOKUP($B25,'Liste des aliments'!$C$6:$W$966,7,FALSE))</f>
        <v xml:space="preserve"> </v>
      </c>
      <c r="J25" s="12" t="str">
        <f>IF(ISBLANK($B25)," ",VLOOKUP($B25,'Liste des aliments'!$C$6:$W$966,9,FALSE))</f>
        <v xml:space="preserve"> </v>
      </c>
      <c r="K25" s="12" t="str">
        <f>IF(ISBLANK($B25)," ",VLOOKUP($B25,'Liste des aliments'!$C$6:$W$966,10,FALSE))</f>
        <v xml:space="preserve"> </v>
      </c>
      <c r="L25" s="12" t="str">
        <f>IF(ISBLANK($B25)," ",VLOOKUP($B25,'Liste des aliments'!$C$6:$W$966,11,FALSE))</f>
        <v xml:space="preserve"> </v>
      </c>
      <c r="M25" s="13" t="str">
        <f>IF(ISBLANK($B25)," ",VLOOKUP($B25,'Liste des aliments'!$C$6:$W$966,12,FALSE))</f>
        <v xml:space="preserve"> </v>
      </c>
      <c r="N25" s="13" t="str">
        <f>IF(ISBLANK($B25)," ",VLOOKUP($B25,'Liste des aliments'!$C$6:$W$966,13,FALSE))</f>
        <v xml:space="preserve"> </v>
      </c>
      <c r="O25" s="12" t="str">
        <f>IF(ISBLANK($B25)," ",VLOOKUP($B25,'Liste des aliments'!$C$6:$W$966,14,FALSE))</f>
        <v xml:space="preserve"> </v>
      </c>
      <c r="P25" s="12" t="str">
        <f>IF(ISBLANK($B25)," ",VLOOKUP($B25,'Liste des aliments'!$C$6:$W$966,15,FALSE))</f>
        <v xml:space="preserve"> </v>
      </c>
      <c r="Q25" s="12" t="str">
        <f>IF(ISBLANK($B25)," ",VLOOKUP($B25,'Liste des aliments'!$C$6:$W$966,16,FALSE))</f>
        <v xml:space="preserve"> </v>
      </c>
      <c r="R25" s="12" t="str">
        <f>IF(ISBLANK($B25)," ",VLOOKUP($B25,'Liste des aliments'!$C$6:$W$966,17,FALSE))</f>
        <v xml:space="preserve"> </v>
      </c>
      <c r="S25" s="12" t="str">
        <f>IF(ISBLANK($B25)," ",VLOOKUP($B25,'Liste des aliments'!$C$6:$W$966,18,FALSE))</f>
        <v xml:space="preserve"> </v>
      </c>
      <c r="T25" s="12" t="str">
        <f>IF(ISBLANK($B25)," ",VLOOKUP($B25,'Liste des aliments'!$C$6:$W$966,20,FALSE))</f>
        <v xml:space="preserve"> </v>
      </c>
      <c r="U25" s="107"/>
    </row>
    <row r="26" spans="1:26">
      <c r="A26" s="133"/>
      <c r="B26" s="137"/>
      <c r="C26" s="89" t="str">
        <f>IF(ISBLANK(B26),"",INDEX('Liste des aliments'!$B$6:$B$966,MATCH(B26,'Liste des aliments'!$C$6:$C$966,0)))</f>
        <v/>
      </c>
      <c r="D26" s="138"/>
      <c r="E26" s="139"/>
      <c r="F26" s="13" t="str">
        <f>IF(ISBLANK($B26)," ",VLOOKUP($B26,'Liste des aliments'!$C$6:$W$966,2,FALSE))</f>
        <v xml:space="preserve"> </v>
      </c>
      <c r="G26" s="14" t="str">
        <f t="shared" si="2"/>
        <v xml:space="preserve"> </v>
      </c>
      <c r="H26" s="14" t="str">
        <f>IF(ISBLANK($B26)," ",IF(C26="F",VLOOKUP($B26,'Liste des aliments'!$C$6:$X$966,22,FALSE),($L$91*$M$91)))</f>
        <v xml:space="preserve"> </v>
      </c>
      <c r="I26" s="14" t="str">
        <f>IF(ISBLANK($B26)," ",VLOOKUP($B26,'Liste des aliments'!$C$6:$W$966,7,FALSE))</f>
        <v xml:space="preserve"> </v>
      </c>
      <c r="J26" s="12" t="str">
        <f>IF(ISBLANK($B26)," ",VLOOKUP($B26,'Liste des aliments'!$C$6:$W$966,9,FALSE))</f>
        <v xml:space="preserve"> </v>
      </c>
      <c r="K26" s="12" t="str">
        <f>IF(ISBLANK($B26)," ",VLOOKUP($B26,'Liste des aliments'!$C$6:$W$966,10,FALSE))</f>
        <v xml:space="preserve"> </v>
      </c>
      <c r="L26" s="12" t="str">
        <f>IF(ISBLANK($B26)," ",VLOOKUP($B26,'Liste des aliments'!$C$6:$W$966,11,FALSE))</f>
        <v xml:space="preserve"> </v>
      </c>
      <c r="M26" s="13" t="str">
        <f>IF(ISBLANK($B26)," ",VLOOKUP($B26,'Liste des aliments'!$C$6:$W$966,12,FALSE))</f>
        <v xml:space="preserve"> </v>
      </c>
      <c r="N26" s="13" t="str">
        <f>IF(ISBLANK($B26)," ",VLOOKUP($B26,'Liste des aliments'!$C$6:$W$966,13,FALSE))</f>
        <v xml:space="preserve"> </v>
      </c>
      <c r="O26" s="12" t="str">
        <f>IF(ISBLANK($B26)," ",VLOOKUP($B26,'Liste des aliments'!$C$6:$W$966,14,FALSE))</f>
        <v xml:space="preserve"> </v>
      </c>
      <c r="P26" s="12" t="str">
        <f>IF(ISBLANK($B26)," ",VLOOKUP($B26,'Liste des aliments'!$C$6:$W$966,15,FALSE))</f>
        <v xml:space="preserve"> </v>
      </c>
      <c r="Q26" s="12" t="str">
        <f>IF(ISBLANK($B26)," ",VLOOKUP($B26,'Liste des aliments'!$C$6:$W$966,16,FALSE))</f>
        <v xml:space="preserve"> </v>
      </c>
      <c r="R26" s="12" t="str">
        <f>IF(ISBLANK($B26)," ",VLOOKUP($B26,'Liste des aliments'!$C$6:$W$966,17,FALSE))</f>
        <v xml:space="preserve"> </v>
      </c>
      <c r="S26" s="12" t="str">
        <f>IF(ISBLANK($B26)," ",VLOOKUP($B26,'Liste des aliments'!$C$6:$W$966,18,FALSE))</f>
        <v xml:space="preserve"> </v>
      </c>
      <c r="T26" s="12" t="str">
        <f>IF(ISBLANK($B26)," ",VLOOKUP($B26,'Liste des aliments'!$C$6:$W$966,20,FALSE))</f>
        <v xml:space="preserve"> </v>
      </c>
      <c r="U26" s="107"/>
    </row>
    <row r="27" spans="1:26">
      <c r="A27" s="133"/>
      <c r="B27" s="137"/>
      <c r="C27" s="89" t="str">
        <f>IF(ISBLANK(B27),"",INDEX('Liste des aliments'!$B$6:$B$966,MATCH(B27,'Liste des aliments'!$C$6:$C$966,0)))</f>
        <v/>
      </c>
      <c r="D27" s="138"/>
      <c r="E27" s="139"/>
      <c r="F27" s="13" t="str">
        <f>IF(ISBLANK($B27)," ",VLOOKUP($B27,'Liste des aliments'!$C$6:$W$966,2,FALSE))</f>
        <v xml:space="preserve"> </v>
      </c>
      <c r="G27" s="14" t="str">
        <f t="shared" si="2"/>
        <v xml:space="preserve"> </v>
      </c>
      <c r="H27" s="14" t="str">
        <f>IF(ISBLANK($B27)," ",IF(C27="F",VLOOKUP($B27,'Liste des aliments'!$C$6:$X$966,22,FALSE),($L$91*$M$91)))</f>
        <v xml:space="preserve"> </v>
      </c>
      <c r="I27" s="14" t="str">
        <f>IF(ISBLANK($B27)," ",VLOOKUP($B27,'Liste des aliments'!$C$6:$W$966,7,FALSE))</f>
        <v xml:space="preserve"> </v>
      </c>
      <c r="J27" s="12" t="str">
        <f>IF(ISBLANK($B27)," ",VLOOKUP($B27,'Liste des aliments'!$C$6:$W$966,9,FALSE))</f>
        <v xml:space="preserve"> </v>
      </c>
      <c r="K27" s="12" t="str">
        <f>IF(ISBLANK($B27)," ",VLOOKUP($B27,'Liste des aliments'!$C$6:$W$966,10,FALSE))</f>
        <v xml:space="preserve"> </v>
      </c>
      <c r="L27" s="12" t="str">
        <f>IF(ISBLANK($B27)," ",VLOOKUP($B27,'Liste des aliments'!$C$6:$W$966,11,FALSE))</f>
        <v xml:space="preserve"> </v>
      </c>
      <c r="M27" s="13" t="str">
        <f>IF(ISBLANK($B27)," ",VLOOKUP($B27,'Liste des aliments'!$C$6:$W$966,12,FALSE))</f>
        <v xml:space="preserve"> </v>
      </c>
      <c r="N27" s="13" t="str">
        <f>IF(ISBLANK($B27)," ",VLOOKUP($B27,'Liste des aliments'!$C$6:$W$966,13,FALSE))</f>
        <v xml:space="preserve"> </v>
      </c>
      <c r="O27" s="12" t="str">
        <f>IF(ISBLANK($B27)," ",VLOOKUP($B27,'Liste des aliments'!$C$6:$W$966,14,FALSE))</f>
        <v xml:space="preserve"> </v>
      </c>
      <c r="P27" s="12" t="str">
        <f>IF(ISBLANK($B27)," ",VLOOKUP($B27,'Liste des aliments'!$C$6:$W$966,15,FALSE))</f>
        <v xml:space="preserve"> </v>
      </c>
      <c r="Q27" s="12" t="str">
        <f>IF(ISBLANK($B27)," ",VLOOKUP($B27,'Liste des aliments'!$C$6:$W$966,16,FALSE))</f>
        <v xml:space="preserve"> </v>
      </c>
      <c r="R27" s="12" t="str">
        <f>IF(ISBLANK($B27)," ",VLOOKUP($B27,'Liste des aliments'!$C$6:$W$966,17,FALSE))</f>
        <v xml:space="preserve"> </v>
      </c>
      <c r="S27" s="12" t="str">
        <f>IF(ISBLANK($B27)," ",VLOOKUP($B27,'Liste des aliments'!$C$6:$W$966,18,FALSE))</f>
        <v xml:space="preserve"> </v>
      </c>
      <c r="T27" s="12" t="str">
        <f>IF(ISBLANK($B27)," ",VLOOKUP($B27,'Liste des aliments'!$C$6:$W$966,20,FALSE))</f>
        <v xml:space="preserve"> </v>
      </c>
      <c r="U27" s="107"/>
    </row>
    <row r="28" spans="1:26">
      <c r="A28" s="133"/>
      <c r="B28" s="137"/>
      <c r="C28" s="89" t="str">
        <f>IF(ISBLANK(B28),"",INDEX('Liste des aliments'!$B$6:$B$966,MATCH(B28,'Liste des aliments'!$C$6:$C$966,0)))</f>
        <v/>
      </c>
      <c r="D28" s="138"/>
      <c r="E28" s="139"/>
      <c r="F28" s="13" t="str">
        <f>IF(ISBLANK($B28)," ",VLOOKUP($B28,'Liste des aliments'!$C$6:$W$966,2,FALSE))</f>
        <v xml:space="preserve"> </v>
      </c>
      <c r="G28" s="14" t="str">
        <f t="shared" si="2"/>
        <v xml:space="preserve"> </v>
      </c>
      <c r="H28" s="14" t="str">
        <f>IF(ISBLANK($B28)," ",IF(C28="F",VLOOKUP($B28,'Liste des aliments'!$C$6:$X$966,22,FALSE),($L$91*$M$91)))</f>
        <v xml:space="preserve"> </v>
      </c>
      <c r="I28" s="14" t="str">
        <f>IF(ISBLANK($B28)," ",VLOOKUP($B28,'Liste des aliments'!$C$6:$W$966,7,FALSE))</f>
        <v xml:space="preserve"> </v>
      </c>
      <c r="J28" s="12" t="str">
        <f>IF(ISBLANK($B28)," ",VLOOKUP($B28,'Liste des aliments'!$C$6:$W$966,9,FALSE))</f>
        <v xml:space="preserve"> </v>
      </c>
      <c r="K28" s="12" t="str">
        <f>IF(ISBLANK($B28)," ",VLOOKUP($B28,'Liste des aliments'!$C$6:$W$966,10,FALSE))</f>
        <v xml:space="preserve"> </v>
      </c>
      <c r="L28" s="12" t="str">
        <f>IF(ISBLANK($B28)," ",VLOOKUP($B28,'Liste des aliments'!$C$6:$W$966,11,FALSE))</f>
        <v xml:space="preserve"> </v>
      </c>
      <c r="M28" s="13" t="str">
        <f>IF(ISBLANK($B28)," ",VLOOKUP($B28,'Liste des aliments'!$C$6:$W$966,12,FALSE))</f>
        <v xml:space="preserve"> </v>
      </c>
      <c r="N28" s="13" t="str">
        <f>IF(ISBLANK($B28)," ",VLOOKUP($B28,'Liste des aliments'!$C$6:$W$966,13,FALSE))</f>
        <v xml:space="preserve"> </v>
      </c>
      <c r="O28" s="12" t="str">
        <f>IF(ISBLANK($B28)," ",VLOOKUP($B28,'Liste des aliments'!$C$6:$W$966,14,FALSE))</f>
        <v xml:space="preserve"> </v>
      </c>
      <c r="P28" s="12" t="str">
        <f>IF(ISBLANK($B28)," ",VLOOKUP($B28,'Liste des aliments'!$C$6:$W$966,15,FALSE))</f>
        <v xml:space="preserve"> </v>
      </c>
      <c r="Q28" s="12" t="str">
        <f>IF(ISBLANK($B28)," ",VLOOKUP($B28,'Liste des aliments'!$C$6:$W$966,16,FALSE))</f>
        <v xml:space="preserve"> </v>
      </c>
      <c r="R28" s="12" t="str">
        <f>IF(ISBLANK($B28)," ",VLOOKUP($B28,'Liste des aliments'!$C$6:$W$966,17,FALSE))</f>
        <v xml:space="preserve"> </v>
      </c>
      <c r="S28" s="12" t="str">
        <f>IF(ISBLANK($B28)," ",VLOOKUP($B28,'Liste des aliments'!$C$6:$W$966,18,FALSE))</f>
        <v xml:space="preserve"> </v>
      </c>
      <c r="T28" s="12" t="str">
        <f>IF(ISBLANK($B28)," ",VLOOKUP($B28,'Liste des aliments'!$C$6:$W$966,20,FALSE))</f>
        <v xml:space="preserve"> </v>
      </c>
      <c r="U28" s="107"/>
    </row>
    <row r="29" spans="1:26">
      <c r="A29" s="133"/>
      <c r="B29" s="137"/>
      <c r="C29" s="89" t="str">
        <f>IF(ISBLANK(B29),"",INDEX('Liste des aliments'!$B$6:$B$966,MATCH(B29,'Liste des aliments'!$C$6:$C$966,0)))</f>
        <v/>
      </c>
      <c r="D29" s="138"/>
      <c r="E29" s="139"/>
      <c r="F29" s="13" t="str">
        <f>IF(ISBLANK($B29)," ",VLOOKUP($B29,'Liste des aliments'!$C$6:$W$966,2,FALSE))</f>
        <v xml:space="preserve"> </v>
      </c>
      <c r="G29" s="14" t="str">
        <f t="shared" si="2"/>
        <v xml:space="preserve"> </v>
      </c>
      <c r="H29" s="14" t="str">
        <f>IF(ISBLANK($B29)," ",IF(C29="F",VLOOKUP($B29,'Liste des aliments'!$C$6:$X$966,22,FALSE),($L$91*$M$91)))</f>
        <v xml:space="preserve"> </v>
      </c>
      <c r="I29" s="14" t="str">
        <f>IF(ISBLANK($B29)," ",VLOOKUP($B29,'Liste des aliments'!$C$6:$W$966,7,FALSE))</f>
        <v xml:space="preserve"> </v>
      </c>
      <c r="J29" s="12" t="str">
        <f>IF(ISBLANK($B29)," ",VLOOKUP($B29,'Liste des aliments'!$C$6:$W$966,9,FALSE))</f>
        <v xml:space="preserve"> </v>
      </c>
      <c r="K29" s="12" t="str">
        <f>IF(ISBLANK($B29)," ",VLOOKUP($B29,'Liste des aliments'!$C$6:$W$966,10,FALSE))</f>
        <v xml:space="preserve"> </v>
      </c>
      <c r="L29" s="12" t="str">
        <f>IF(ISBLANK($B29)," ",VLOOKUP($B29,'Liste des aliments'!$C$6:$W$966,11,FALSE))</f>
        <v xml:space="preserve"> </v>
      </c>
      <c r="M29" s="13" t="str">
        <f>IF(ISBLANK($B29)," ",VLOOKUP($B29,'Liste des aliments'!$C$6:$W$966,12,FALSE))</f>
        <v xml:space="preserve"> </v>
      </c>
      <c r="N29" s="13" t="str">
        <f>IF(ISBLANK($B29)," ",VLOOKUP($B29,'Liste des aliments'!$C$6:$W$966,13,FALSE))</f>
        <v xml:space="preserve"> </v>
      </c>
      <c r="O29" s="12" t="str">
        <f>IF(ISBLANK($B29)," ",VLOOKUP($B29,'Liste des aliments'!$C$6:$W$966,14,FALSE))</f>
        <v xml:space="preserve"> </v>
      </c>
      <c r="P29" s="12" t="str">
        <f>IF(ISBLANK($B29)," ",VLOOKUP($B29,'Liste des aliments'!$C$6:$W$966,15,FALSE))</f>
        <v xml:space="preserve"> </v>
      </c>
      <c r="Q29" s="12" t="str">
        <f>IF(ISBLANK($B29)," ",VLOOKUP($B29,'Liste des aliments'!$C$6:$W$966,16,FALSE))</f>
        <v xml:space="preserve"> </v>
      </c>
      <c r="R29" s="12" t="str">
        <f>IF(ISBLANK($B29)," ",VLOOKUP($B29,'Liste des aliments'!$C$6:$W$966,17,FALSE))</f>
        <v xml:space="preserve"> </v>
      </c>
      <c r="S29" s="12" t="str">
        <f>IF(ISBLANK($B29)," ",VLOOKUP($B29,'Liste des aliments'!$C$6:$W$966,18,FALSE))</f>
        <v xml:space="preserve"> </v>
      </c>
      <c r="T29" s="12" t="str">
        <f>IF(ISBLANK($B29)," ",VLOOKUP($B29,'Liste des aliments'!$C$6:$W$966,20,FALSE))</f>
        <v xml:space="preserve"> </v>
      </c>
      <c r="U29" s="107"/>
    </row>
    <row r="30" spans="1:26">
      <c r="A30" s="133"/>
      <c r="B30" s="137"/>
      <c r="C30" s="89" t="str">
        <f>IF(ISBLANK(B30),"",INDEX('Liste des aliments'!$B$6:$B$966,MATCH(B30,'Liste des aliments'!$C$6:$C$966,0)))</f>
        <v/>
      </c>
      <c r="D30" s="138"/>
      <c r="E30" s="139"/>
      <c r="F30" s="13" t="str">
        <f>IF(ISBLANK($B30)," ",VLOOKUP($B30,'Liste des aliments'!$C$6:$W$966,2,FALSE))</f>
        <v xml:space="preserve"> </v>
      </c>
      <c r="G30" s="14" t="str">
        <f t="shared" si="2"/>
        <v xml:space="preserve"> </v>
      </c>
      <c r="H30" s="14" t="str">
        <f>IF(ISBLANK($B30)," ",IF(C30="F",VLOOKUP($B30,'Liste des aliments'!$C$6:$X$966,22,FALSE),($L$91*$M$91)))</f>
        <v xml:space="preserve"> </v>
      </c>
      <c r="I30" s="14" t="str">
        <f>IF(ISBLANK($B30)," ",VLOOKUP($B30,'Liste des aliments'!$C$6:$W$966,7,FALSE))</f>
        <v xml:space="preserve"> </v>
      </c>
      <c r="J30" s="12" t="str">
        <f>IF(ISBLANK($B30)," ",VLOOKUP($B30,'Liste des aliments'!$C$6:$W$966,9,FALSE))</f>
        <v xml:space="preserve"> </v>
      </c>
      <c r="K30" s="12" t="str">
        <f>IF(ISBLANK($B30)," ",VLOOKUP($B30,'Liste des aliments'!$C$6:$W$966,10,FALSE))</f>
        <v xml:space="preserve"> </v>
      </c>
      <c r="L30" s="12" t="str">
        <f>IF(ISBLANK($B30)," ",VLOOKUP($B30,'Liste des aliments'!$C$6:$W$966,11,FALSE))</f>
        <v xml:space="preserve"> </v>
      </c>
      <c r="M30" s="13" t="str">
        <f>IF(ISBLANK($B30)," ",VLOOKUP($B30,'Liste des aliments'!$C$6:$W$966,12,FALSE))</f>
        <v xml:space="preserve"> </v>
      </c>
      <c r="N30" s="13" t="str">
        <f>IF(ISBLANK($B30)," ",VLOOKUP($B30,'Liste des aliments'!$C$6:$W$966,13,FALSE))</f>
        <v xml:space="preserve"> </v>
      </c>
      <c r="O30" s="12" t="str">
        <f>IF(ISBLANK($B30)," ",VLOOKUP($B30,'Liste des aliments'!$C$6:$W$966,14,FALSE))</f>
        <v xml:space="preserve"> </v>
      </c>
      <c r="P30" s="12" t="str">
        <f>IF(ISBLANK($B30)," ",VLOOKUP($B30,'Liste des aliments'!$C$6:$W$966,15,FALSE))</f>
        <v xml:space="preserve"> </v>
      </c>
      <c r="Q30" s="12" t="str">
        <f>IF(ISBLANK($B30)," ",VLOOKUP($B30,'Liste des aliments'!$C$6:$W$966,16,FALSE))</f>
        <v xml:space="preserve"> </v>
      </c>
      <c r="R30" s="12" t="str">
        <f>IF(ISBLANK($B30)," ",VLOOKUP($B30,'Liste des aliments'!$C$6:$W$966,17,FALSE))</f>
        <v xml:space="preserve"> </v>
      </c>
      <c r="S30" s="12" t="str">
        <f>IF(ISBLANK($B30)," ",VLOOKUP($B30,'Liste des aliments'!$C$6:$W$966,18,FALSE))</f>
        <v xml:space="preserve"> </v>
      </c>
      <c r="T30" s="12" t="str">
        <f>IF(ISBLANK($B30)," ",VLOOKUP($B30,'Liste des aliments'!$C$6:$W$966,20,FALSE))</f>
        <v xml:space="preserve"> </v>
      </c>
      <c r="U30" s="107"/>
    </row>
    <row r="31" spans="1:26">
      <c r="A31" s="133"/>
      <c r="B31" s="137"/>
      <c r="C31" s="89" t="str">
        <f>IF(ISBLANK(B31),"",INDEX('Liste des aliments'!$B$6:$B$966,MATCH(B31,'Liste des aliments'!$C$6:$C$966,0)))</f>
        <v/>
      </c>
      <c r="D31" s="138"/>
      <c r="E31" s="139"/>
      <c r="F31" s="13" t="str">
        <f>IF(ISBLANK($B31)," ",VLOOKUP($B31,'Liste des aliments'!$C$6:$W$966,2,FALSE))</f>
        <v xml:space="preserve"> </v>
      </c>
      <c r="G31" s="14" t="str">
        <f t="shared" si="2"/>
        <v xml:space="preserve"> </v>
      </c>
      <c r="H31" s="14" t="str">
        <f>IF(ISBLANK($B31)," ",IF(C31="F",VLOOKUP($B31,'Liste des aliments'!$C$6:$X$966,22,FALSE),($L$91*$M$91)))</f>
        <v xml:space="preserve"> </v>
      </c>
      <c r="I31" s="14" t="str">
        <f>IF(ISBLANK($B31)," ",VLOOKUP($B31,'Liste des aliments'!$C$6:$W$966,7,FALSE))</f>
        <v xml:space="preserve"> </v>
      </c>
      <c r="J31" s="12" t="str">
        <f>IF(ISBLANK($B31)," ",VLOOKUP($B31,'Liste des aliments'!$C$6:$W$966,9,FALSE))</f>
        <v xml:space="preserve"> </v>
      </c>
      <c r="K31" s="12" t="str">
        <f>IF(ISBLANK($B31)," ",VLOOKUP($B31,'Liste des aliments'!$C$6:$W$966,10,FALSE))</f>
        <v xml:space="preserve"> </v>
      </c>
      <c r="L31" s="12" t="str">
        <f>IF(ISBLANK($B31)," ",VLOOKUP($B31,'Liste des aliments'!$C$6:$W$966,11,FALSE))</f>
        <v xml:space="preserve"> </v>
      </c>
      <c r="M31" s="13" t="str">
        <f>IF(ISBLANK($B31)," ",VLOOKUP($B31,'Liste des aliments'!$C$6:$W$966,12,FALSE))</f>
        <v xml:space="preserve"> </v>
      </c>
      <c r="N31" s="13" t="str">
        <f>IF(ISBLANK($B31)," ",VLOOKUP($B31,'Liste des aliments'!$C$6:$W$966,13,FALSE))</f>
        <v xml:space="preserve"> </v>
      </c>
      <c r="O31" s="12" t="str">
        <f>IF(ISBLANK($B31)," ",VLOOKUP($B31,'Liste des aliments'!$C$6:$W$966,14,FALSE))</f>
        <v xml:space="preserve"> </v>
      </c>
      <c r="P31" s="12" t="str">
        <f>IF(ISBLANK($B31)," ",VLOOKUP($B31,'Liste des aliments'!$C$6:$W$966,15,FALSE))</f>
        <v xml:space="preserve"> </v>
      </c>
      <c r="Q31" s="12" t="str">
        <f>IF(ISBLANK($B31)," ",VLOOKUP($B31,'Liste des aliments'!$C$6:$W$966,16,FALSE))</f>
        <v xml:space="preserve"> </v>
      </c>
      <c r="R31" s="12" t="str">
        <f>IF(ISBLANK($B31)," ",VLOOKUP($B31,'Liste des aliments'!$C$6:$W$966,17,FALSE))</f>
        <v xml:space="preserve"> </v>
      </c>
      <c r="S31" s="12" t="str">
        <f>IF(ISBLANK($B31)," ",VLOOKUP($B31,'Liste des aliments'!$C$6:$W$966,18,FALSE))</f>
        <v xml:space="preserve"> </v>
      </c>
      <c r="T31" s="12" t="str">
        <f>IF(ISBLANK($B31)," ",VLOOKUP($B31,'Liste des aliments'!$C$6:$W$966,20,FALSE))</f>
        <v xml:space="preserve"> </v>
      </c>
      <c r="U31" s="107"/>
    </row>
    <row r="32" spans="1:26">
      <c r="A32" s="133"/>
      <c r="B32" s="137"/>
      <c r="C32" s="89" t="str">
        <f>IF(ISBLANK(B32),"",INDEX('Liste des aliments'!$B$6:$B$966,MATCH(B32,'Liste des aliments'!$C$6:$C$966,0)))</f>
        <v/>
      </c>
      <c r="D32" s="138"/>
      <c r="E32" s="139"/>
      <c r="F32" s="13" t="str">
        <f>IF(ISBLANK($B32)," ",VLOOKUP($B32,'Liste des aliments'!$C$6:$W$966,2,FALSE))</f>
        <v xml:space="preserve"> </v>
      </c>
      <c r="G32" s="14" t="str">
        <f t="shared" si="2"/>
        <v xml:space="preserve"> </v>
      </c>
      <c r="H32" s="14" t="str">
        <f>IF(ISBLANK($B32)," ",IF(C32="F",VLOOKUP($B32,'Liste des aliments'!$C$6:$X$966,22,FALSE),($L$91*$M$91)))</f>
        <v xml:space="preserve"> </v>
      </c>
      <c r="I32" s="14" t="str">
        <f>IF(ISBLANK($B32)," ",VLOOKUP($B32,'Liste des aliments'!$C$6:$W$966,7,FALSE))</f>
        <v xml:space="preserve"> </v>
      </c>
      <c r="J32" s="12" t="str">
        <f>IF(ISBLANK($B32)," ",VLOOKUP($B32,'Liste des aliments'!$C$6:$W$966,9,FALSE))</f>
        <v xml:space="preserve"> </v>
      </c>
      <c r="K32" s="12" t="str">
        <f>IF(ISBLANK($B32)," ",VLOOKUP($B32,'Liste des aliments'!$C$6:$W$966,10,FALSE))</f>
        <v xml:space="preserve"> </v>
      </c>
      <c r="L32" s="12" t="str">
        <f>IF(ISBLANK($B32)," ",VLOOKUP($B32,'Liste des aliments'!$C$6:$W$966,11,FALSE))</f>
        <v xml:space="preserve"> </v>
      </c>
      <c r="M32" s="13" t="str">
        <f>IF(ISBLANK($B32)," ",VLOOKUP($B32,'Liste des aliments'!$C$6:$W$966,12,FALSE))</f>
        <v xml:space="preserve"> </v>
      </c>
      <c r="N32" s="13" t="str">
        <f>IF(ISBLANK($B32)," ",VLOOKUP($B32,'Liste des aliments'!$C$6:$W$966,13,FALSE))</f>
        <v xml:space="preserve"> </v>
      </c>
      <c r="O32" s="12" t="str">
        <f>IF(ISBLANK($B32)," ",VLOOKUP($B32,'Liste des aliments'!$C$6:$W$966,14,FALSE))</f>
        <v xml:space="preserve"> </v>
      </c>
      <c r="P32" s="12" t="str">
        <f>IF(ISBLANK($B32)," ",VLOOKUP($B32,'Liste des aliments'!$C$6:$W$966,15,FALSE))</f>
        <v xml:space="preserve"> </v>
      </c>
      <c r="Q32" s="12" t="str">
        <f>IF(ISBLANK($B32)," ",VLOOKUP($B32,'Liste des aliments'!$C$6:$W$966,16,FALSE))</f>
        <v xml:space="preserve"> </v>
      </c>
      <c r="R32" s="12" t="str">
        <f>IF(ISBLANK($B32)," ",VLOOKUP($B32,'Liste des aliments'!$C$6:$W$966,17,FALSE))</f>
        <v xml:space="preserve"> </v>
      </c>
      <c r="S32" s="12" t="str">
        <f>IF(ISBLANK($B32)," ",VLOOKUP($B32,'Liste des aliments'!$C$6:$W$966,18,FALSE))</f>
        <v xml:space="preserve"> </v>
      </c>
      <c r="T32" s="12" t="str">
        <f>IF(ISBLANK($B32)," ",VLOOKUP($B32,'Liste des aliments'!$C$6:$W$966,20,FALSE))</f>
        <v xml:space="preserve"> </v>
      </c>
      <c r="U32" s="107"/>
    </row>
    <row r="33" spans="1:21">
      <c r="A33" s="133"/>
      <c r="B33" s="137"/>
      <c r="C33" s="89" t="str">
        <f>IF(ISBLANK(B33),"",INDEX('Liste des aliments'!$B$6:$B$966,MATCH(B33,'Liste des aliments'!$C$6:$C$966,0)))</f>
        <v/>
      </c>
      <c r="D33" s="138"/>
      <c r="E33" s="139"/>
      <c r="F33" s="13" t="str">
        <f>IF(ISBLANK($B33)," ",VLOOKUP($B33,'Liste des aliments'!$C$6:$W$966,2,FALSE))</f>
        <v xml:space="preserve"> </v>
      </c>
      <c r="G33" s="14" t="str">
        <f t="shared" si="2"/>
        <v xml:space="preserve"> </v>
      </c>
      <c r="H33" s="14" t="str">
        <f>IF(ISBLANK($B33)," ",IF(C33="F",VLOOKUP($B33,'Liste des aliments'!$C$6:$X$966,22,FALSE),($L$91*$M$91)))</f>
        <v xml:space="preserve"> </v>
      </c>
      <c r="I33" s="14" t="str">
        <f>IF(ISBLANK($B33)," ",VLOOKUP($B33,'Liste des aliments'!$C$6:$W$966,7,FALSE))</f>
        <v xml:space="preserve"> </v>
      </c>
      <c r="J33" s="12" t="str">
        <f>IF(ISBLANK($B33)," ",VLOOKUP($B33,'Liste des aliments'!$C$6:$W$966,9,FALSE))</f>
        <v xml:space="preserve"> </v>
      </c>
      <c r="K33" s="12" t="str">
        <f>IF(ISBLANK($B33)," ",VLOOKUP($B33,'Liste des aliments'!$C$6:$W$966,10,FALSE))</f>
        <v xml:space="preserve"> </v>
      </c>
      <c r="L33" s="12" t="str">
        <f>IF(ISBLANK($B33)," ",VLOOKUP($B33,'Liste des aliments'!$C$6:$W$966,11,FALSE))</f>
        <v xml:space="preserve"> </v>
      </c>
      <c r="M33" s="13" t="str">
        <f>IF(ISBLANK($B33)," ",VLOOKUP($B33,'Liste des aliments'!$C$6:$W$966,12,FALSE))</f>
        <v xml:space="preserve"> </v>
      </c>
      <c r="N33" s="13" t="str">
        <f>IF(ISBLANK($B33)," ",VLOOKUP($B33,'Liste des aliments'!$C$6:$W$966,13,FALSE))</f>
        <v xml:space="preserve"> </v>
      </c>
      <c r="O33" s="12" t="str">
        <f>IF(ISBLANK($B33)," ",VLOOKUP($B33,'Liste des aliments'!$C$6:$W$966,14,FALSE))</f>
        <v xml:space="preserve"> </v>
      </c>
      <c r="P33" s="12" t="str">
        <f>IF(ISBLANK($B33)," ",VLOOKUP($B33,'Liste des aliments'!$C$6:$W$966,15,FALSE))</f>
        <v xml:space="preserve"> </v>
      </c>
      <c r="Q33" s="12" t="str">
        <f>IF(ISBLANK($B33)," ",VLOOKUP($B33,'Liste des aliments'!$C$6:$W$966,16,FALSE))</f>
        <v xml:space="preserve"> </v>
      </c>
      <c r="R33" s="12" t="str">
        <f>IF(ISBLANK($B33)," ",VLOOKUP($B33,'Liste des aliments'!$C$6:$W$966,17,FALSE))</f>
        <v xml:space="preserve"> </v>
      </c>
      <c r="S33" s="12" t="str">
        <f>IF(ISBLANK($B33)," ",VLOOKUP($B33,'Liste des aliments'!$C$6:$W$966,18,FALSE))</f>
        <v xml:space="preserve"> </v>
      </c>
      <c r="T33" s="12" t="str">
        <f>IF(ISBLANK($B33)," ",VLOOKUP($B33,'Liste des aliments'!$C$6:$W$966,20,FALSE))</f>
        <v xml:space="preserve"> </v>
      </c>
      <c r="U33" s="107"/>
    </row>
    <row r="34" spans="1:21">
      <c r="A34" s="133"/>
      <c r="B34" s="137"/>
      <c r="C34" s="89" t="str">
        <f>IF(ISBLANK(B34),"",INDEX('Liste des aliments'!$B$6:$B$966,MATCH(B34,'Liste des aliments'!$C$6:$C$966,0)))</f>
        <v/>
      </c>
      <c r="D34" s="138"/>
      <c r="E34" s="139"/>
      <c r="F34" s="13" t="str">
        <f>IF(ISBLANK($B34)," ",VLOOKUP($B34,'Liste des aliments'!$C$6:$W$966,2,FALSE))</f>
        <v xml:space="preserve"> </v>
      </c>
      <c r="G34" s="14" t="str">
        <f t="shared" si="2"/>
        <v xml:space="preserve"> </v>
      </c>
      <c r="H34" s="14" t="str">
        <f>IF(ISBLANK($B34)," ",IF(C34="F",VLOOKUP($B34,'Liste des aliments'!$C$6:$X$966,22,FALSE),($L$91*$M$91)))</f>
        <v xml:space="preserve"> </v>
      </c>
      <c r="I34" s="14" t="str">
        <f>IF(ISBLANK($B34)," ",VLOOKUP($B34,'Liste des aliments'!$C$6:$W$966,7,FALSE))</f>
        <v xml:space="preserve"> </v>
      </c>
      <c r="J34" s="12" t="str">
        <f>IF(ISBLANK($B34)," ",VLOOKUP($B34,'Liste des aliments'!$C$6:$W$966,9,FALSE))</f>
        <v xml:space="preserve"> </v>
      </c>
      <c r="K34" s="12" t="str">
        <f>IF(ISBLANK($B34)," ",VLOOKUP($B34,'Liste des aliments'!$C$6:$W$966,10,FALSE))</f>
        <v xml:space="preserve"> </v>
      </c>
      <c r="L34" s="12" t="str">
        <f>IF(ISBLANK($B34)," ",VLOOKUP($B34,'Liste des aliments'!$C$6:$W$966,11,FALSE))</f>
        <v xml:space="preserve"> </v>
      </c>
      <c r="M34" s="13" t="str">
        <f>IF(ISBLANK($B34)," ",VLOOKUP($B34,'Liste des aliments'!$C$6:$W$966,12,FALSE))</f>
        <v xml:space="preserve"> </v>
      </c>
      <c r="N34" s="13" t="str">
        <f>IF(ISBLANK($B34)," ",VLOOKUP($B34,'Liste des aliments'!$C$6:$W$966,13,FALSE))</f>
        <v xml:space="preserve"> </v>
      </c>
      <c r="O34" s="12" t="str">
        <f>IF(ISBLANK($B34)," ",VLOOKUP($B34,'Liste des aliments'!$C$6:$W$966,14,FALSE))</f>
        <v xml:space="preserve"> </v>
      </c>
      <c r="P34" s="12" t="str">
        <f>IF(ISBLANK($B34)," ",VLOOKUP($B34,'Liste des aliments'!$C$6:$W$966,15,FALSE))</f>
        <v xml:space="preserve"> </v>
      </c>
      <c r="Q34" s="12" t="str">
        <f>IF(ISBLANK($B34)," ",VLOOKUP($B34,'Liste des aliments'!$C$6:$W$966,16,FALSE))</f>
        <v xml:space="preserve"> </v>
      </c>
      <c r="R34" s="12" t="str">
        <f>IF(ISBLANK($B34)," ",VLOOKUP($B34,'Liste des aliments'!$C$6:$W$966,17,FALSE))</f>
        <v xml:space="preserve"> </v>
      </c>
      <c r="S34" s="12" t="str">
        <f>IF(ISBLANK($B34)," ",VLOOKUP($B34,'Liste des aliments'!$C$6:$W$966,18,FALSE))</f>
        <v xml:space="preserve"> </v>
      </c>
      <c r="T34" s="12" t="str">
        <f>IF(ISBLANK($B34)," ",VLOOKUP($B34,'Liste des aliments'!$C$6:$W$966,20,FALSE))</f>
        <v xml:space="preserve"> </v>
      </c>
      <c r="U34" s="107"/>
    </row>
    <row r="35" spans="1:21">
      <c r="A35" s="133"/>
      <c r="B35" s="137"/>
      <c r="C35" s="89" t="str">
        <f>IF(ISBLANK(B35),"",INDEX('Liste des aliments'!$B$6:$B$966,MATCH(B35,'Liste des aliments'!$C$6:$C$966,0)))</f>
        <v/>
      </c>
      <c r="D35" s="138"/>
      <c r="E35" s="139"/>
      <c r="F35" s="13" t="str">
        <f>IF(ISBLANK($B35)," ",VLOOKUP($B35,'Liste des aliments'!$C$6:$W$966,2,FALSE))</f>
        <v xml:space="preserve"> </v>
      </c>
      <c r="G35" s="14" t="str">
        <f t="shared" si="2"/>
        <v xml:space="preserve"> </v>
      </c>
      <c r="H35" s="14" t="str">
        <f>IF(ISBLANK($B35)," ",IF(C35="F",VLOOKUP($B35,'Liste des aliments'!$C$6:$X$966,22,FALSE),($L$91*$M$91)))</f>
        <v xml:space="preserve"> </v>
      </c>
      <c r="I35" s="14" t="str">
        <f>IF(ISBLANK($B35)," ",VLOOKUP($B35,'Liste des aliments'!$C$6:$W$966,7,FALSE))</f>
        <v xml:space="preserve"> </v>
      </c>
      <c r="J35" s="12" t="str">
        <f>IF(ISBLANK($B35)," ",VLOOKUP($B35,'Liste des aliments'!$C$6:$W$966,9,FALSE))</f>
        <v xml:space="preserve"> </v>
      </c>
      <c r="K35" s="12" t="str">
        <f>IF(ISBLANK($B35)," ",VLOOKUP($B35,'Liste des aliments'!$C$6:$W$966,10,FALSE))</f>
        <v xml:space="preserve"> </v>
      </c>
      <c r="L35" s="12" t="str">
        <f>IF(ISBLANK($B35)," ",VLOOKUP($B35,'Liste des aliments'!$C$6:$W$966,11,FALSE))</f>
        <v xml:space="preserve"> </v>
      </c>
      <c r="M35" s="13" t="str">
        <f>IF(ISBLANK($B35)," ",VLOOKUP($B35,'Liste des aliments'!$C$6:$W$966,12,FALSE))</f>
        <v xml:space="preserve"> </v>
      </c>
      <c r="N35" s="13" t="str">
        <f>IF(ISBLANK($B35)," ",VLOOKUP($B35,'Liste des aliments'!$C$6:$W$966,13,FALSE))</f>
        <v xml:space="preserve"> </v>
      </c>
      <c r="O35" s="12" t="str">
        <f>IF(ISBLANK($B35)," ",VLOOKUP($B35,'Liste des aliments'!$C$6:$W$966,14,FALSE))</f>
        <v xml:space="preserve"> </v>
      </c>
      <c r="P35" s="12" t="str">
        <f>IF(ISBLANK($B35)," ",VLOOKUP($B35,'Liste des aliments'!$C$6:$W$966,15,FALSE))</f>
        <v xml:space="preserve"> </v>
      </c>
      <c r="Q35" s="12" t="str">
        <f>IF(ISBLANK($B35)," ",VLOOKUP($B35,'Liste des aliments'!$C$6:$W$966,16,FALSE))</f>
        <v xml:space="preserve"> </v>
      </c>
      <c r="R35" s="12" t="str">
        <f>IF(ISBLANK($B35)," ",VLOOKUP($B35,'Liste des aliments'!$C$6:$W$966,17,FALSE))</f>
        <v xml:space="preserve"> </v>
      </c>
      <c r="S35" s="12" t="str">
        <f>IF(ISBLANK($B35)," ",VLOOKUP($B35,'Liste des aliments'!$C$6:$W$966,18,FALSE))</f>
        <v xml:space="preserve"> </v>
      </c>
      <c r="T35" s="12" t="str">
        <f>IF(ISBLANK($B35)," ",VLOOKUP($B35,'Liste des aliments'!$C$6:$W$966,20,FALSE))</f>
        <v xml:space="preserve"> </v>
      </c>
      <c r="U35" s="107"/>
    </row>
    <row r="36" spans="1:21" ht="14.4" thickBot="1">
      <c r="A36" s="133"/>
      <c r="B36" s="142"/>
      <c r="C36" s="15" t="str">
        <f>IF(ISBLANK(B36),"",INDEX('Liste des aliments'!$B$6:$B$966,MATCH(B36,'Liste des aliments'!$C$6:$C$966,0)))</f>
        <v/>
      </c>
      <c r="D36" s="143"/>
      <c r="E36" s="143"/>
      <c r="F36" s="3" t="str">
        <f>IF(ISBLANK($B36)," ",VLOOKUP($B36,'Liste des aliments'!$C$6:$W$966,2,FALSE))</f>
        <v xml:space="preserve"> </v>
      </c>
      <c r="G36" s="10" t="str">
        <f t="shared" si="2"/>
        <v xml:space="preserve"> </v>
      </c>
      <c r="H36" s="10" t="str">
        <f>IF(ISBLANK($B36)," ",IF(C36="F",VLOOKUP($B36,'Liste des aliments'!$C$6:$X$966,22,FALSE),($L$91*$M$91)))</f>
        <v xml:space="preserve"> </v>
      </c>
      <c r="I36" s="10" t="str">
        <f>IF(ISBLANK($B36)," ",VLOOKUP($B36,'Liste des aliments'!$C$6:$W$966,7,FALSE))</f>
        <v xml:space="preserve"> </v>
      </c>
      <c r="J36" s="4" t="str">
        <f>IF(ISBLANK($B36)," ",VLOOKUP($B36,'Liste des aliments'!$C$6:$W$966,9,FALSE))</f>
        <v xml:space="preserve"> </v>
      </c>
      <c r="K36" s="4" t="str">
        <f>IF(ISBLANK($B36)," ",VLOOKUP($B36,'Liste des aliments'!$C$6:$W$966,10,FALSE))</f>
        <v xml:space="preserve"> </v>
      </c>
      <c r="L36" s="4" t="str">
        <f>IF(ISBLANK($B36)," ",VLOOKUP($B36,'Liste des aliments'!$C$6:$W$966,11,FALSE))</f>
        <v xml:space="preserve"> </v>
      </c>
      <c r="M36" s="3" t="str">
        <f>IF(ISBLANK($B36)," ",VLOOKUP($B36,'Liste des aliments'!$C$6:$W$966,12,FALSE))</f>
        <v xml:space="preserve"> </v>
      </c>
      <c r="N36" s="3" t="str">
        <f>IF(ISBLANK($B36)," ",VLOOKUP($B36,'Liste des aliments'!$C$6:$W$966,13,FALSE))</f>
        <v xml:space="preserve"> </v>
      </c>
      <c r="O36" s="4" t="str">
        <f>IF(ISBLANK($B36)," ",VLOOKUP($B36,'Liste des aliments'!$C$6:$W$966,14,FALSE))</f>
        <v xml:space="preserve"> </v>
      </c>
      <c r="P36" s="4" t="str">
        <f>IF(ISBLANK($B36)," ",VLOOKUP($B36,'Liste des aliments'!$C$6:$W$966,15,FALSE))</f>
        <v xml:space="preserve"> </v>
      </c>
      <c r="Q36" s="4" t="str">
        <f>IF(ISBLANK($B36)," ",VLOOKUP($B36,'Liste des aliments'!$C$6:$W$966,16,FALSE))</f>
        <v xml:space="preserve"> </v>
      </c>
      <c r="R36" s="4" t="str">
        <f>IF(ISBLANK($B36)," ",VLOOKUP($B36,'Liste des aliments'!$C$6:$W$966,17,FALSE))</f>
        <v xml:space="preserve"> </v>
      </c>
      <c r="S36" s="4" t="str">
        <f>IF(ISBLANK($B36)," ",VLOOKUP($B36,'Liste des aliments'!$C$6:$W$966,18,FALSE))</f>
        <v xml:space="preserve"> </v>
      </c>
      <c r="T36" s="4" t="str">
        <f>IF(ISBLANK($B36)," ",VLOOKUP($B36,'Liste des aliments'!$C$6:$W$966,20,FALSE))</f>
        <v xml:space="preserve"> </v>
      </c>
      <c r="U36" s="108"/>
    </row>
    <row r="38" spans="1:21" ht="16.2" thickBot="1">
      <c r="B38" s="11" t="s">
        <v>195</v>
      </c>
      <c r="C38" s="1"/>
      <c r="D38" s="1"/>
      <c r="E38" s="1"/>
      <c r="F38" s="1"/>
      <c r="G38" s="1"/>
      <c r="H38" s="1"/>
      <c r="I38" s="1"/>
      <c r="J38" s="1"/>
      <c r="K38" s="1"/>
      <c r="L38" s="1"/>
      <c r="M38" s="1"/>
      <c r="N38" s="1"/>
      <c r="O38" s="1"/>
      <c r="P38" s="1"/>
      <c r="Q38" s="1"/>
      <c r="R38" s="776" t="s">
        <v>196</v>
      </c>
      <c r="S38" s="776"/>
      <c r="T38" s="776"/>
      <c r="U38" s="776"/>
    </row>
    <row r="39" spans="1:21" ht="14.4" thickBot="1">
      <c r="A39" s="145"/>
      <c r="B39" s="1"/>
      <c r="C39" s="1"/>
      <c r="D39" s="59" t="s">
        <v>188</v>
      </c>
      <c r="E39" s="60" t="s">
        <v>197</v>
      </c>
      <c r="F39" s="60"/>
      <c r="G39" s="60" t="s">
        <v>191</v>
      </c>
      <c r="H39" s="60" t="s">
        <v>61</v>
      </c>
      <c r="I39" s="60" t="s">
        <v>46</v>
      </c>
      <c r="J39" s="60" t="s">
        <v>48</v>
      </c>
      <c r="K39" s="60" t="s">
        <v>49</v>
      </c>
      <c r="L39" s="60" t="s">
        <v>50</v>
      </c>
      <c r="M39" s="60" t="s">
        <v>51</v>
      </c>
      <c r="N39" s="60" t="s">
        <v>52</v>
      </c>
      <c r="O39" s="60" t="s">
        <v>192</v>
      </c>
      <c r="P39" s="61" t="s">
        <v>54</v>
      </c>
      <c r="Q39" s="61" t="s">
        <v>198</v>
      </c>
      <c r="R39" s="61" t="s">
        <v>56</v>
      </c>
      <c r="S39" s="61" t="s">
        <v>57</v>
      </c>
      <c r="T39" s="61" t="s">
        <v>59</v>
      </c>
      <c r="U39" s="62" t="s">
        <v>194</v>
      </c>
    </row>
    <row r="40" spans="1:21" ht="18" customHeight="1">
      <c r="B40" s="93" t="s">
        <v>199</v>
      </c>
      <c r="C40" s="94"/>
      <c r="D40" s="63">
        <f>SUM(D21:D36)</f>
        <v>0</v>
      </c>
      <c r="E40" s="248" t="e">
        <f>G40/D40*100</f>
        <v>#DIV/0!</v>
      </c>
      <c r="F40" s="16"/>
      <c r="G40" s="56">
        <f>SUM(G21:G36)</f>
        <v>0</v>
      </c>
      <c r="H40" s="56" t="e">
        <f>H76</f>
        <v>#VALUE!</v>
      </c>
      <c r="I40" s="57">
        <f t="shared" ref="I40:U40" si="3">K76</f>
        <v>0</v>
      </c>
      <c r="J40" s="57">
        <f t="shared" si="3"/>
        <v>0</v>
      </c>
      <c r="K40" s="57">
        <f t="shared" si="3"/>
        <v>0</v>
      </c>
      <c r="L40" s="57">
        <f t="shared" si="3"/>
        <v>0</v>
      </c>
      <c r="M40" s="57">
        <f t="shared" si="3"/>
        <v>0</v>
      </c>
      <c r="N40" s="57">
        <f t="shared" si="3"/>
        <v>0</v>
      </c>
      <c r="O40" s="57">
        <f t="shared" si="3"/>
        <v>0</v>
      </c>
      <c r="P40" s="76">
        <f t="shared" si="3"/>
        <v>0</v>
      </c>
      <c r="Q40" s="76">
        <f t="shared" si="3"/>
        <v>0</v>
      </c>
      <c r="R40" s="76">
        <f t="shared" si="3"/>
        <v>0</v>
      </c>
      <c r="S40" s="76">
        <f t="shared" si="3"/>
        <v>0</v>
      </c>
      <c r="T40" s="76">
        <f t="shared" si="3"/>
        <v>0</v>
      </c>
      <c r="U40" s="249">
        <f t="shared" si="3"/>
        <v>0</v>
      </c>
    </row>
    <row r="41" spans="1:21" ht="18" customHeight="1">
      <c r="B41" s="95" t="s">
        <v>200</v>
      </c>
      <c r="C41" s="96"/>
      <c r="D41" s="44"/>
      <c r="E41" s="44"/>
      <c r="F41" s="44"/>
      <c r="G41" s="56">
        <v>1</v>
      </c>
      <c r="H41" s="56" t="e">
        <f t="shared" ref="H41:U41" si="4">H40/$G$40</f>
        <v>#VALUE!</v>
      </c>
      <c r="I41" s="58" t="e">
        <f t="shared" si="4"/>
        <v>#DIV/0!</v>
      </c>
      <c r="J41" s="57" t="e">
        <f t="shared" si="4"/>
        <v>#DIV/0!</v>
      </c>
      <c r="K41" s="57" t="e">
        <f t="shared" si="4"/>
        <v>#DIV/0!</v>
      </c>
      <c r="L41" s="57" t="e">
        <f t="shared" si="4"/>
        <v>#DIV/0!</v>
      </c>
      <c r="M41" s="56" t="e">
        <f t="shared" si="4"/>
        <v>#DIV/0!</v>
      </c>
      <c r="N41" s="56" t="e">
        <f t="shared" si="4"/>
        <v>#DIV/0!</v>
      </c>
      <c r="O41" s="57" t="e">
        <f t="shared" si="4"/>
        <v>#DIV/0!</v>
      </c>
      <c r="P41" s="75" t="e">
        <f t="shared" si="4"/>
        <v>#DIV/0!</v>
      </c>
      <c r="Q41" s="75" t="e">
        <f t="shared" si="4"/>
        <v>#DIV/0!</v>
      </c>
      <c r="R41" s="75" t="e">
        <f t="shared" si="4"/>
        <v>#DIV/0!</v>
      </c>
      <c r="S41" s="75" t="e">
        <f t="shared" si="4"/>
        <v>#DIV/0!</v>
      </c>
      <c r="T41" s="75" t="e">
        <f t="shared" si="4"/>
        <v>#DIV/0!</v>
      </c>
      <c r="U41" s="250" t="e">
        <f t="shared" si="4"/>
        <v>#DIV/0!</v>
      </c>
    </row>
    <row r="42" spans="1:21" ht="18" customHeight="1" thickBot="1">
      <c r="B42" s="717" t="s">
        <v>260</v>
      </c>
      <c r="C42" s="718"/>
      <c r="D42" s="719"/>
      <c r="E42" s="719"/>
      <c r="F42" s="719"/>
      <c r="G42" s="722">
        <f>G40/H14</f>
        <v>0</v>
      </c>
      <c r="H42" s="722" t="e">
        <f>H40/I14</f>
        <v>#VALUE!</v>
      </c>
      <c r="I42" s="454">
        <f>I40/J14</f>
        <v>0</v>
      </c>
      <c r="J42" s="454">
        <f>J40/K14</f>
        <v>0</v>
      </c>
      <c r="K42" s="454">
        <f>K40/L14</f>
        <v>0</v>
      </c>
      <c r="L42" s="406"/>
      <c r="M42" s="454">
        <f>M40/N14</f>
        <v>0</v>
      </c>
      <c r="N42" s="454">
        <f>N40/O14</f>
        <v>0</v>
      </c>
      <c r="O42" s="720"/>
      <c r="P42" s="720"/>
      <c r="Q42" s="720"/>
      <c r="R42" s="720"/>
      <c r="S42" s="720"/>
      <c r="T42" s="720"/>
      <c r="U42" s="721" t="e">
        <f>U41/$G$40</f>
        <v>#DIV/0!</v>
      </c>
    </row>
    <row r="43" spans="1:21" ht="9.9" customHeight="1">
      <c r="B43" s="1"/>
      <c r="C43" s="1"/>
      <c r="D43" s="1"/>
      <c r="E43" s="1"/>
      <c r="F43" s="1"/>
      <c r="G43" s="1"/>
      <c r="H43" s="1"/>
      <c r="I43" s="1"/>
      <c r="J43" s="1"/>
      <c r="K43" s="1"/>
      <c r="L43" s="1"/>
      <c r="M43" s="1"/>
      <c r="N43" s="1"/>
      <c r="O43" s="1"/>
      <c r="P43" s="1"/>
      <c r="Q43" s="1"/>
      <c r="R43" s="1"/>
      <c r="S43" s="1"/>
      <c r="T43" s="1"/>
      <c r="U43" s="1"/>
    </row>
    <row r="44" spans="1:21">
      <c r="B44" s="1"/>
      <c r="C44" s="1"/>
      <c r="D44" s="1"/>
      <c r="E44" s="1"/>
      <c r="F44" s="1"/>
      <c r="G44" s="1"/>
      <c r="H44" s="703"/>
      <c r="I44" s="703"/>
      <c r="J44" s="703"/>
      <c r="K44" s="703"/>
      <c r="L44" s="703"/>
      <c r="M44" s="1"/>
      <c r="N44" s="1"/>
      <c r="O44" s="704" t="s">
        <v>203</v>
      </c>
      <c r="P44" s="705">
        <v>150</v>
      </c>
      <c r="Q44" s="705">
        <v>160</v>
      </c>
      <c r="R44" s="705">
        <v>300</v>
      </c>
      <c r="S44" s="706">
        <v>200</v>
      </c>
      <c r="T44" s="707"/>
    </row>
    <row r="45" spans="1:21">
      <c r="B45" s="1"/>
      <c r="C45" s="1"/>
      <c r="D45" s="1"/>
      <c r="E45" s="1"/>
      <c r="F45" s="1"/>
      <c r="G45" s="1"/>
      <c r="H45" s="708"/>
      <c r="I45" s="709"/>
      <c r="J45" s="709"/>
      <c r="K45" s="709"/>
      <c r="L45" s="709"/>
      <c r="M45" s="1"/>
      <c r="N45" s="1"/>
      <c r="O45" s="710" t="s">
        <v>204</v>
      </c>
      <c r="P45" s="711">
        <v>250</v>
      </c>
      <c r="Q45" s="711"/>
      <c r="R45" s="711">
        <v>400</v>
      </c>
      <c r="S45" s="712">
        <v>300</v>
      </c>
      <c r="T45" s="713">
        <v>65</v>
      </c>
    </row>
    <row r="47" spans="1:21">
      <c r="B47" s="774" t="s">
        <v>205</v>
      </c>
      <c r="C47" s="774"/>
    </row>
    <row r="48" spans="1:21">
      <c r="B48" s="274" t="s">
        <v>206</v>
      </c>
      <c r="C48" s="275"/>
    </row>
    <row r="49" spans="1:23">
      <c r="B49" s="274" t="s">
        <v>207</v>
      </c>
      <c r="C49" s="276"/>
    </row>
    <row r="50" spans="1:23">
      <c r="B50" s="274" t="s">
        <v>208</v>
      </c>
      <c r="C50" s="277"/>
    </row>
    <row r="52" spans="1:23" s="295" customFormat="1"/>
    <row r="53" spans="1:23" s="295" customFormat="1" ht="15.6">
      <c r="A53" s="529" t="s">
        <v>210</v>
      </c>
      <c r="B53" s="530"/>
      <c r="C53" s="530"/>
      <c r="D53" s="531" t="s">
        <v>169</v>
      </c>
      <c r="E53" s="531" t="s">
        <v>61</v>
      </c>
      <c r="F53" s="531" t="s">
        <v>44</v>
      </c>
      <c r="G53" s="531" t="s">
        <v>171</v>
      </c>
      <c r="H53" s="531" t="s">
        <v>51</v>
      </c>
      <c r="I53" s="531" t="s">
        <v>211</v>
      </c>
      <c r="J53" s="531" t="s">
        <v>46</v>
      </c>
      <c r="K53" s="531" t="s">
        <v>48</v>
      </c>
      <c r="L53" s="531" t="s">
        <v>49</v>
      </c>
      <c r="M53" s="411"/>
      <c r="N53" s="411"/>
      <c r="O53" s="411"/>
      <c r="P53" s="411"/>
      <c r="Q53" s="411"/>
      <c r="R53" s="411"/>
      <c r="S53" s="411"/>
      <c r="T53" s="411"/>
      <c r="U53" s="411"/>
      <c r="V53" s="411"/>
      <c r="W53" s="411"/>
    </row>
    <row r="54" spans="1:23" s="295" customFormat="1">
      <c r="A54" s="530"/>
      <c r="B54" s="530" t="s">
        <v>214</v>
      </c>
      <c r="C54" s="530"/>
      <c r="D54" s="527">
        <f>G40/H14</f>
        <v>0</v>
      </c>
      <c r="E54" s="527" t="e">
        <f>H40/I14</f>
        <v>#VALUE!</v>
      </c>
      <c r="F54" s="527"/>
      <c r="G54" s="527"/>
      <c r="H54" s="527"/>
      <c r="I54" s="527"/>
      <c r="J54" s="527">
        <f>I40/J14</f>
        <v>0</v>
      </c>
      <c r="K54" s="527">
        <f>J40/K14</f>
        <v>0</v>
      </c>
      <c r="L54" s="527">
        <f>K40/L14</f>
        <v>0</v>
      </c>
      <c r="M54" s="411"/>
      <c r="N54" s="411"/>
      <c r="O54" s="411"/>
      <c r="P54" s="411"/>
      <c r="Q54" s="411"/>
      <c r="R54" s="411"/>
      <c r="S54" s="411"/>
      <c r="T54" s="411"/>
      <c r="U54" s="411"/>
      <c r="V54" s="411"/>
      <c r="W54" s="411"/>
    </row>
    <row r="55" spans="1:23" s="295" customFormat="1">
      <c r="A55" s="530"/>
      <c r="B55" s="530" t="s">
        <v>216</v>
      </c>
      <c r="C55" s="530"/>
      <c r="D55" s="527"/>
      <c r="E55" s="726"/>
      <c r="F55" s="726"/>
      <c r="G55" s="726"/>
      <c r="H55" s="726"/>
      <c r="I55" s="726"/>
      <c r="J55" s="726"/>
      <c r="K55" s="726"/>
      <c r="L55" s="726"/>
      <c r="M55" s="411"/>
      <c r="N55" s="411"/>
      <c r="O55" s="727"/>
      <c r="P55" s="727"/>
      <c r="Q55" s="727"/>
      <c r="R55" s="727"/>
      <c r="S55" s="727"/>
      <c r="T55" s="411"/>
      <c r="U55" s="411"/>
      <c r="V55" s="411"/>
      <c r="W55" s="411"/>
    </row>
    <row r="56" spans="1:23" s="295" customFormat="1">
      <c r="A56" s="530"/>
      <c r="B56" s="530" t="s">
        <v>218</v>
      </c>
      <c r="C56" s="530"/>
      <c r="D56" s="530"/>
      <c r="E56" s="532"/>
      <c r="F56" s="532"/>
      <c r="G56" s="532"/>
      <c r="H56" s="532"/>
      <c r="I56" s="532"/>
      <c r="J56" s="532"/>
      <c r="K56" s="532"/>
      <c r="L56" s="532"/>
      <c r="M56" s="411"/>
      <c r="N56" s="411"/>
      <c r="O56" s="411"/>
      <c r="P56" s="411"/>
      <c r="Q56" s="411"/>
      <c r="R56" s="411"/>
      <c r="S56" s="411"/>
      <c r="T56" s="411"/>
      <c r="U56" s="411"/>
      <c r="V56" s="411"/>
      <c r="W56" s="411"/>
    </row>
    <row r="57" spans="1:23" s="295" customFormat="1">
      <c r="A57" s="530"/>
      <c r="B57" s="530" t="s">
        <v>219</v>
      </c>
      <c r="C57" s="530"/>
      <c r="D57" s="530"/>
      <c r="E57" s="533">
        <v>0.3</v>
      </c>
      <c r="F57" s="533">
        <v>0.3</v>
      </c>
      <c r="G57" s="533">
        <v>0.3</v>
      </c>
      <c r="H57" s="533">
        <v>0.3</v>
      </c>
      <c r="I57" s="533">
        <v>0.3</v>
      </c>
      <c r="J57" s="533">
        <v>0.3</v>
      </c>
      <c r="K57" s="533">
        <v>0.3</v>
      </c>
      <c r="L57" s="533">
        <v>0.3</v>
      </c>
      <c r="M57" s="411"/>
      <c r="N57" s="411"/>
      <c r="O57" s="411"/>
      <c r="P57" s="411"/>
      <c r="Q57" s="411"/>
      <c r="R57" s="411"/>
      <c r="S57" s="411"/>
      <c r="T57" s="411"/>
      <c r="U57" s="411"/>
      <c r="V57" s="411"/>
      <c r="W57" s="411"/>
    </row>
    <row r="58" spans="1:23" s="295" customFormat="1">
      <c r="A58" s="411"/>
      <c r="B58" s="411"/>
      <c r="C58" s="411"/>
      <c r="D58" s="411"/>
      <c r="E58" s="460">
        <v>1</v>
      </c>
      <c r="F58" s="460">
        <v>1</v>
      </c>
      <c r="G58" s="460">
        <v>1</v>
      </c>
      <c r="H58" s="460">
        <v>1</v>
      </c>
      <c r="I58" s="460">
        <v>1</v>
      </c>
      <c r="J58" s="460">
        <v>1</v>
      </c>
      <c r="K58" s="460">
        <v>1</v>
      </c>
      <c r="L58" s="460">
        <v>1</v>
      </c>
      <c r="M58" s="411"/>
      <c r="N58" s="411"/>
      <c r="O58" s="411"/>
      <c r="P58" s="411"/>
      <c r="Q58" s="411"/>
      <c r="R58" s="411"/>
      <c r="S58" s="411"/>
      <c r="T58" s="411"/>
      <c r="U58" s="411"/>
      <c r="V58" s="411"/>
      <c r="W58" s="411"/>
    </row>
    <row r="59" spans="1:23" s="295" customFormat="1" ht="26.4">
      <c r="A59" s="728"/>
      <c r="B59" s="461" t="s">
        <v>40</v>
      </c>
      <c r="C59" s="462" t="s">
        <v>187</v>
      </c>
      <c r="D59" s="462" t="s">
        <v>188</v>
      </c>
      <c r="E59" s="462" t="s">
        <v>220</v>
      </c>
      <c r="F59" s="462" t="s">
        <v>190</v>
      </c>
      <c r="G59" s="462" t="s">
        <v>191</v>
      </c>
      <c r="H59" s="462" t="s">
        <v>61</v>
      </c>
      <c r="I59" s="462" t="s">
        <v>44</v>
      </c>
      <c r="J59" s="462" t="s">
        <v>45</v>
      </c>
      <c r="K59" s="462" t="s">
        <v>46</v>
      </c>
      <c r="L59" s="462" t="s">
        <v>48</v>
      </c>
      <c r="M59" s="462" t="s">
        <v>49</v>
      </c>
      <c r="N59" s="462" t="s">
        <v>50</v>
      </c>
      <c r="O59" s="462" t="s">
        <v>51</v>
      </c>
      <c r="P59" s="462" t="s">
        <v>52</v>
      </c>
      <c r="Q59" s="462" t="s">
        <v>53</v>
      </c>
      <c r="R59" s="462" t="s">
        <v>54</v>
      </c>
      <c r="S59" s="462" t="s">
        <v>193</v>
      </c>
      <c r="T59" s="462" t="s">
        <v>56</v>
      </c>
      <c r="U59" s="462" t="s">
        <v>57</v>
      </c>
      <c r="V59" s="462" t="s">
        <v>59</v>
      </c>
      <c r="W59" s="462" t="s">
        <v>221</v>
      </c>
    </row>
    <row r="60" spans="1:23" s="295" customFormat="1">
      <c r="A60" s="729"/>
      <c r="B60" s="471">
        <f t="shared" ref="B60:G69" si="5">B21</f>
        <v>0</v>
      </c>
      <c r="C60" s="467" t="str">
        <f t="shared" si="5"/>
        <v/>
      </c>
      <c r="D60" s="466">
        <f t="shared" si="5"/>
        <v>0</v>
      </c>
      <c r="E60" s="464">
        <f t="shared" si="5"/>
        <v>0</v>
      </c>
      <c r="F60" s="465" t="str">
        <f t="shared" si="5"/>
        <v xml:space="preserve"> </v>
      </c>
      <c r="G60" s="466" t="str">
        <f t="shared" si="5"/>
        <v xml:space="preserve"> </v>
      </c>
      <c r="H60" s="466" t="e">
        <f>IF(ISBLANK($B60)," ",(IF($C60="F",H21*$G21,(H21/($F21/100))*$G21)))</f>
        <v>#VALUE!</v>
      </c>
      <c r="I60" s="467" t="str">
        <f>IF($B60&gt;0,(IF($C60="F",#REF!*$G21,(#REF!/($F21/100))*$G21))," ")</f>
        <v xml:space="preserve"> </v>
      </c>
      <c r="J60" s="467" t="str">
        <f>IF($B60&gt;0,(IF($C60="F",#REF!*$G21,(#REF!/($F21/100))*$G21))," ")</f>
        <v xml:space="preserve"> </v>
      </c>
      <c r="K60" s="466" t="str">
        <f t="shared" ref="K60:K75" si="6">IF($B60&gt;0,(IF($C60="F",I21*$G21,(I21/($F21/100))*$G21))," ")</f>
        <v xml:space="preserve"> </v>
      </c>
      <c r="L60" s="467" t="str">
        <f t="shared" ref="L60:L75" si="7">IF($B60&gt;0,(IF($C60="F",J21*$G21,(J21/($F21/100))*$G21))," ")</f>
        <v xml:space="preserve"> </v>
      </c>
      <c r="M60" s="467" t="str">
        <f t="shared" ref="M60:M75" si="8">IF($B60&gt;0,(IF($C60="F",K21*$G21,(K21/($F21/100))*$G21))," ")</f>
        <v xml:space="preserve"> </v>
      </c>
      <c r="N60" s="467" t="str">
        <f t="shared" ref="N60:N75" si="9">IF($B60&gt;0,(IF($C60="F",L21*$G21,(L21/($F21/100))*$G21))," ")</f>
        <v xml:space="preserve"> </v>
      </c>
      <c r="O60" s="467" t="str">
        <f t="shared" ref="O60:O75" si="10">IF($B60&gt;0,(IF($C60="F",M21*$G21,(M21/($F21/100))*$G21))," ")</f>
        <v xml:space="preserve"> </v>
      </c>
      <c r="P60" s="467" t="str">
        <f t="shared" ref="P60:P75" si="11">IF($B60&gt;0,(IF($C60="F",N21*$G21,(N21/($F21/100))*$G21))," ")</f>
        <v xml:space="preserve"> </v>
      </c>
      <c r="Q60" s="467" t="str">
        <f t="shared" ref="Q60:Q75" si="12">IF($B60&gt;0,(IF($C60="F",O21*$G21,(O21/($F21/100))*$G21))," ")</f>
        <v xml:space="preserve"> </v>
      </c>
      <c r="R60" s="467" t="str">
        <f t="shared" ref="R60:R75" si="13">IF($B60&gt;0,(IF($C60="F",P21*$G21,(P21/($F21/100))*$G21))," ")</f>
        <v xml:space="preserve"> </v>
      </c>
      <c r="S60" s="467" t="str">
        <f t="shared" ref="S60:S75" si="14">IF($B60&gt;0,(IF($C60="F",Q21*$G21,(Q21/($F21/100))*$G21))," ")</f>
        <v xml:space="preserve"> </v>
      </c>
      <c r="T60" s="467" t="str">
        <f t="shared" ref="T60:T75" si="15">IF($B60&gt;0,(IF($C60="F",R21*$G21,(R21/($F21/100))*$G21))," ")</f>
        <v xml:space="preserve"> </v>
      </c>
      <c r="U60" s="467" t="str">
        <f t="shared" ref="U60:U75" si="16">IF($B60&gt;0,(IF($C60="F",S21*$G21,(S21/($F21/100))*$G21))," ")</f>
        <v xml:space="preserve"> </v>
      </c>
      <c r="V60" s="467" t="str">
        <f t="shared" ref="V60:V75" si="17">IF($B60&gt;0,(IF($C60="F",T21*$G21,(T21/($F21/100))*$G21))," ")</f>
        <v xml:space="preserve"> </v>
      </c>
      <c r="W60" s="466" t="str">
        <f t="shared" ref="W60:W75" si="18">IF($B60&gt;0,(IF($C60="F",U21*$G21,(U21/($F21/100))*$G21))," ")</f>
        <v xml:space="preserve"> </v>
      </c>
    </row>
    <row r="61" spans="1:23" s="295" customFormat="1">
      <c r="A61" s="729"/>
      <c r="B61" s="463">
        <f t="shared" si="5"/>
        <v>0</v>
      </c>
      <c r="C61" s="464" t="str">
        <f t="shared" si="5"/>
        <v/>
      </c>
      <c r="D61" s="464">
        <f t="shared" si="5"/>
        <v>0</v>
      </c>
      <c r="E61" s="464">
        <f t="shared" si="5"/>
        <v>0</v>
      </c>
      <c r="F61" s="465" t="str">
        <f t="shared" si="5"/>
        <v xml:space="preserve"> </v>
      </c>
      <c r="G61" s="466" t="str">
        <f t="shared" si="5"/>
        <v xml:space="preserve"> </v>
      </c>
      <c r="H61" s="466" t="str">
        <f t="shared" ref="H61:H75" si="19">IF($B61&gt;0,(IF($C61="F",H22*$G22,(H22/($F22/100))*$G22))," ")</f>
        <v xml:space="preserve"> </v>
      </c>
      <c r="I61" s="467" t="str">
        <f>IF($B61&gt;0,(IF($C61="F",#REF!*$G22,(#REF!/($F22/100))*$G22))," ")</f>
        <v xml:space="preserve"> </v>
      </c>
      <c r="J61" s="467" t="str">
        <f>IF($B61&gt;0,(IF($C61="F",#REF!*$G22,(#REF!/($F22/100))*$G22))," ")</f>
        <v xml:space="preserve"> </v>
      </c>
      <c r="K61" s="466" t="str">
        <f t="shared" si="6"/>
        <v xml:space="preserve"> </v>
      </c>
      <c r="L61" s="467" t="str">
        <f t="shared" si="7"/>
        <v xml:space="preserve"> </v>
      </c>
      <c r="M61" s="467" t="str">
        <f t="shared" si="8"/>
        <v xml:space="preserve"> </v>
      </c>
      <c r="N61" s="467" t="str">
        <f t="shared" si="9"/>
        <v xml:space="preserve"> </v>
      </c>
      <c r="O61" s="467" t="str">
        <f t="shared" si="10"/>
        <v xml:space="preserve"> </v>
      </c>
      <c r="P61" s="467" t="str">
        <f t="shared" si="11"/>
        <v xml:space="preserve"> </v>
      </c>
      <c r="Q61" s="467" t="str">
        <f t="shared" si="12"/>
        <v xml:space="preserve"> </v>
      </c>
      <c r="R61" s="467" t="str">
        <f t="shared" si="13"/>
        <v xml:space="preserve"> </v>
      </c>
      <c r="S61" s="467" t="str">
        <f t="shared" si="14"/>
        <v xml:space="preserve"> </v>
      </c>
      <c r="T61" s="467" t="str">
        <f t="shared" si="15"/>
        <v xml:space="preserve"> </v>
      </c>
      <c r="U61" s="467" t="str">
        <f t="shared" si="16"/>
        <v xml:space="preserve"> </v>
      </c>
      <c r="V61" s="467" t="str">
        <f t="shared" si="17"/>
        <v xml:space="preserve"> </v>
      </c>
      <c r="W61" s="466" t="str">
        <f t="shared" si="18"/>
        <v xml:space="preserve"> </v>
      </c>
    </row>
    <row r="62" spans="1:23" s="295" customFormat="1">
      <c r="A62" s="729"/>
      <c r="B62" s="463">
        <f t="shared" si="5"/>
        <v>0</v>
      </c>
      <c r="C62" s="464" t="str">
        <f t="shared" si="5"/>
        <v/>
      </c>
      <c r="D62" s="464">
        <f t="shared" si="5"/>
        <v>0</v>
      </c>
      <c r="E62" s="464">
        <f t="shared" si="5"/>
        <v>0</v>
      </c>
      <c r="F62" s="465" t="str">
        <f t="shared" si="5"/>
        <v xml:space="preserve"> </v>
      </c>
      <c r="G62" s="466" t="str">
        <f t="shared" si="5"/>
        <v xml:space="preserve"> </v>
      </c>
      <c r="H62" s="466" t="str">
        <f t="shared" si="19"/>
        <v xml:space="preserve"> </v>
      </c>
      <c r="I62" s="467" t="str">
        <f>IF($B62&gt;0,(IF($C62="F",#REF!*$G23,(#REF!/($F23/100))*$G23))," ")</f>
        <v xml:space="preserve"> </v>
      </c>
      <c r="J62" s="467" t="str">
        <f>IF($B62&gt;0,(IF($C62="F",#REF!*$G23,(#REF!/($F23/100))*$G23))," ")</f>
        <v xml:space="preserve"> </v>
      </c>
      <c r="K62" s="466" t="str">
        <f t="shared" si="6"/>
        <v xml:space="preserve"> </v>
      </c>
      <c r="L62" s="467" t="str">
        <f t="shared" si="7"/>
        <v xml:space="preserve"> </v>
      </c>
      <c r="M62" s="467" t="str">
        <f t="shared" si="8"/>
        <v xml:space="preserve"> </v>
      </c>
      <c r="N62" s="467" t="str">
        <f t="shared" si="9"/>
        <v xml:space="preserve"> </v>
      </c>
      <c r="O62" s="467" t="str">
        <f t="shared" si="10"/>
        <v xml:space="preserve"> </v>
      </c>
      <c r="P62" s="467" t="str">
        <f t="shared" si="11"/>
        <v xml:space="preserve"> </v>
      </c>
      <c r="Q62" s="467" t="str">
        <f t="shared" si="12"/>
        <v xml:space="preserve"> </v>
      </c>
      <c r="R62" s="467" t="str">
        <f t="shared" si="13"/>
        <v xml:space="preserve"> </v>
      </c>
      <c r="S62" s="467" t="str">
        <f t="shared" si="14"/>
        <v xml:space="preserve"> </v>
      </c>
      <c r="T62" s="467" t="str">
        <f t="shared" si="15"/>
        <v xml:space="preserve"> </v>
      </c>
      <c r="U62" s="467" t="str">
        <f t="shared" si="16"/>
        <v xml:space="preserve"> </v>
      </c>
      <c r="V62" s="467" t="str">
        <f t="shared" si="17"/>
        <v xml:space="preserve"> </v>
      </c>
      <c r="W62" s="466" t="str">
        <f t="shared" si="18"/>
        <v xml:space="preserve"> </v>
      </c>
    </row>
    <row r="63" spans="1:23" s="295" customFormat="1">
      <c r="A63" s="729"/>
      <c r="B63" s="463">
        <f t="shared" si="5"/>
        <v>0</v>
      </c>
      <c r="C63" s="464" t="str">
        <f t="shared" si="5"/>
        <v/>
      </c>
      <c r="D63" s="464">
        <f t="shared" si="5"/>
        <v>0</v>
      </c>
      <c r="E63" s="464">
        <f t="shared" si="5"/>
        <v>0</v>
      </c>
      <c r="F63" s="465" t="str">
        <f t="shared" si="5"/>
        <v xml:space="preserve"> </v>
      </c>
      <c r="G63" s="466" t="str">
        <f t="shared" si="5"/>
        <v xml:space="preserve"> </v>
      </c>
      <c r="H63" s="466" t="str">
        <f t="shared" si="19"/>
        <v xml:space="preserve"> </v>
      </c>
      <c r="I63" s="467" t="str">
        <f>IF($B63&gt;0,(IF($C63="F",#REF!*$G24,(#REF!/($F24/100))*$G24))," ")</f>
        <v xml:space="preserve"> </v>
      </c>
      <c r="J63" s="467" t="str">
        <f>IF($B63&gt;0,(IF($C63="F",#REF!*$G24,(#REF!/($F24/100))*$G24))," ")</f>
        <v xml:space="preserve"> </v>
      </c>
      <c r="K63" s="466" t="str">
        <f t="shared" si="6"/>
        <v xml:space="preserve"> </v>
      </c>
      <c r="L63" s="467" t="str">
        <f t="shared" si="7"/>
        <v xml:space="preserve"> </v>
      </c>
      <c r="M63" s="467" t="str">
        <f t="shared" si="8"/>
        <v xml:space="preserve"> </v>
      </c>
      <c r="N63" s="467" t="str">
        <f t="shared" si="9"/>
        <v xml:space="preserve"> </v>
      </c>
      <c r="O63" s="467" t="str">
        <f t="shared" si="10"/>
        <v xml:space="preserve"> </v>
      </c>
      <c r="P63" s="467" t="str">
        <f t="shared" si="11"/>
        <v xml:space="preserve"> </v>
      </c>
      <c r="Q63" s="467" t="str">
        <f t="shared" si="12"/>
        <v xml:space="preserve"> </v>
      </c>
      <c r="R63" s="467" t="str">
        <f t="shared" si="13"/>
        <v xml:space="preserve"> </v>
      </c>
      <c r="S63" s="467" t="str">
        <f t="shared" si="14"/>
        <v xml:space="preserve"> </v>
      </c>
      <c r="T63" s="467" t="str">
        <f t="shared" si="15"/>
        <v xml:space="preserve"> </v>
      </c>
      <c r="U63" s="467" t="str">
        <f t="shared" si="16"/>
        <v xml:space="preserve"> </v>
      </c>
      <c r="V63" s="467" t="str">
        <f t="shared" si="17"/>
        <v xml:space="preserve"> </v>
      </c>
      <c r="W63" s="466" t="str">
        <f t="shared" si="18"/>
        <v xml:space="preserve"> </v>
      </c>
    </row>
    <row r="64" spans="1:23" s="295" customFormat="1">
      <c r="A64" s="729"/>
      <c r="B64" s="463">
        <f t="shared" si="5"/>
        <v>0</v>
      </c>
      <c r="C64" s="464" t="str">
        <f t="shared" si="5"/>
        <v/>
      </c>
      <c r="D64" s="464">
        <f t="shared" si="5"/>
        <v>0</v>
      </c>
      <c r="E64" s="464">
        <f t="shared" si="5"/>
        <v>0</v>
      </c>
      <c r="F64" s="465" t="str">
        <f t="shared" si="5"/>
        <v xml:space="preserve"> </v>
      </c>
      <c r="G64" s="466" t="str">
        <f t="shared" si="5"/>
        <v xml:space="preserve"> </v>
      </c>
      <c r="H64" s="466" t="str">
        <f t="shared" si="19"/>
        <v xml:space="preserve"> </v>
      </c>
      <c r="I64" s="467" t="str">
        <f>IF($B64&gt;0,(IF($C64="F",#REF!*$G25,(#REF!/($F25/100))*$G25))," ")</f>
        <v xml:space="preserve"> </v>
      </c>
      <c r="J64" s="467" t="str">
        <f>IF($B64&gt;0,(IF($C64="F",#REF!*$G25,(#REF!/($F25/100))*$G25))," ")</f>
        <v xml:space="preserve"> </v>
      </c>
      <c r="K64" s="466" t="str">
        <f t="shared" si="6"/>
        <v xml:space="preserve"> </v>
      </c>
      <c r="L64" s="467" t="str">
        <f t="shared" si="7"/>
        <v xml:space="preserve"> </v>
      </c>
      <c r="M64" s="467" t="str">
        <f t="shared" si="8"/>
        <v xml:space="preserve"> </v>
      </c>
      <c r="N64" s="467" t="str">
        <f t="shared" si="9"/>
        <v xml:space="preserve"> </v>
      </c>
      <c r="O64" s="467" t="str">
        <f t="shared" si="10"/>
        <v xml:space="preserve"> </v>
      </c>
      <c r="P64" s="467" t="str">
        <f t="shared" si="11"/>
        <v xml:space="preserve"> </v>
      </c>
      <c r="Q64" s="467" t="str">
        <f t="shared" si="12"/>
        <v xml:space="preserve"> </v>
      </c>
      <c r="R64" s="467" t="str">
        <f t="shared" si="13"/>
        <v xml:space="preserve"> </v>
      </c>
      <c r="S64" s="467" t="str">
        <f t="shared" si="14"/>
        <v xml:space="preserve"> </v>
      </c>
      <c r="T64" s="467" t="str">
        <f t="shared" si="15"/>
        <v xml:space="preserve"> </v>
      </c>
      <c r="U64" s="467" t="str">
        <f t="shared" si="16"/>
        <v xml:space="preserve"> </v>
      </c>
      <c r="V64" s="467" t="str">
        <f t="shared" si="17"/>
        <v xml:space="preserve"> </v>
      </c>
      <c r="W64" s="466" t="str">
        <f t="shared" si="18"/>
        <v xml:space="preserve"> </v>
      </c>
    </row>
    <row r="65" spans="1:28" s="295" customFormat="1">
      <c r="A65" s="729"/>
      <c r="B65" s="463">
        <f t="shared" si="5"/>
        <v>0</v>
      </c>
      <c r="C65" s="464" t="str">
        <f t="shared" si="5"/>
        <v/>
      </c>
      <c r="D65" s="464">
        <f t="shared" si="5"/>
        <v>0</v>
      </c>
      <c r="E65" s="464">
        <f t="shared" si="5"/>
        <v>0</v>
      </c>
      <c r="F65" s="465" t="str">
        <f t="shared" si="5"/>
        <v xml:space="preserve"> </v>
      </c>
      <c r="G65" s="466" t="str">
        <f t="shared" si="5"/>
        <v xml:space="preserve"> </v>
      </c>
      <c r="H65" s="466" t="str">
        <f t="shared" si="19"/>
        <v xml:space="preserve"> </v>
      </c>
      <c r="I65" s="467" t="str">
        <f>IF($B65&gt;0,(IF($C65="F",#REF!*$G26,(#REF!/($F26/100))*$G26))," ")</f>
        <v xml:space="preserve"> </v>
      </c>
      <c r="J65" s="467" t="str">
        <f>IF($B65&gt;0,(IF($C65="F",#REF!*$G26,(#REF!/($F26/100))*$G26))," ")</f>
        <v xml:space="preserve"> </v>
      </c>
      <c r="K65" s="466" t="str">
        <f t="shared" si="6"/>
        <v xml:space="preserve"> </v>
      </c>
      <c r="L65" s="467" t="str">
        <f t="shared" si="7"/>
        <v xml:space="preserve"> </v>
      </c>
      <c r="M65" s="467" t="str">
        <f t="shared" si="8"/>
        <v xml:space="preserve"> </v>
      </c>
      <c r="N65" s="467" t="str">
        <f t="shared" si="9"/>
        <v xml:space="preserve"> </v>
      </c>
      <c r="O65" s="467" t="str">
        <f t="shared" si="10"/>
        <v xml:space="preserve"> </v>
      </c>
      <c r="P65" s="467" t="str">
        <f t="shared" si="11"/>
        <v xml:space="preserve"> </v>
      </c>
      <c r="Q65" s="467" t="str">
        <f t="shared" si="12"/>
        <v xml:space="preserve"> </v>
      </c>
      <c r="R65" s="467" t="str">
        <f t="shared" si="13"/>
        <v xml:space="preserve"> </v>
      </c>
      <c r="S65" s="467" t="str">
        <f t="shared" si="14"/>
        <v xml:space="preserve"> </v>
      </c>
      <c r="T65" s="467" t="str">
        <f t="shared" si="15"/>
        <v xml:space="preserve"> </v>
      </c>
      <c r="U65" s="467" t="str">
        <f t="shared" si="16"/>
        <v xml:space="preserve"> </v>
      </c>
      <c r="V65" s="467" t="str">
        <f t="shared" si="17"/>
        <v xml:space="preserve"> </v>
      </c>
      <c r="W65" s="466" t="str">
        <f t="shared" si="18"/>
        <v xml:space="preserve"> </v>
      </c>
    </row>
    <row r="66" spans="1:28" s="295" customFormat="1">
      <c r="A66" s="729"/>
      <c r="B66" s="463">
        <f t="shared" si="5"/>
        <v>0</v>
      </c>
      <c r="C66" s="464" t="str">
        <f t="shared" si="5"/>
        <v/>
      </c>
      <c r="D66" s="464">
        <f t="shared" si="5"/>
        <v>0</v>
      </c>
      <c r="E66" s="464">
        <f t="shared" si="5"/>
        <v>0</v>
      </c>
      <c r="F66" s="465" t="str">
        <f t="shared" si="5"/>
        <v xml:space="preserve"> </v>
      </c>
      <c r="G66" s="466" t="str">
        <f t="shared" si="5"/>
        <v xml:space="preserve"> </v>
      </c>
      <c r="H66" s="466" t="str">
        <f t="shared" si="19"/>
        <v xml:space="preserve"> </v>
      </c>
      <c r="I66" s="467" t="str">
        <f>IF($B66&gt;0,(IF($C66="F",#REF!*$G27,(#REF!/($F27/100))*$G27))," ")</f>
        <v xml:space="preserve"> </v>
      </c>
      <c r="J66" s="467" t="str">
        <f>IF($B66&gt;0,(IF($C66="F",#REF!*$G27,(#REF!/($F27/100))*$G27))," ")</f>
        <v xml:space="preserve"> </v>
      </c>
      <c r="K66" s="466" t="str">
        <f t="shared" si="6"/>
        <v xml:space="preserve"> </v>
      </c>
      <c r="L66" s="467" t="str">
        <f t="shared" si="7"/>
        <v xml:space="preserve"> </v>
      </c>
      <c r="M66" s="467" t="str">
        <f t="shared" si="8"/>
        <v xml:space="preserve"> </v>
      </c>
      <c r="N66" s="467" t="str">
        <f t="shared" si="9"/>
        <v xml:space="preserve"> </v>
      </c>
      <c r="O66" s="467" t="str">
        <f t="shared" si="10"/>
        <v xml:space="preserve"> </v>
      </c>
      <c r="P66" s="467" t="str">
        <f t="shared" si="11"/>
        <v xml:space="preserve"> </v>
      </c>
      <c r="Q66" s="467" t="str">
        <f t="shared" si="12"/>
        <v xml:space="preserve"> </v>
      </c>
      <c r="R66" s="467" t="str">
        <f t="shared" si="13"/>
        <v xml:space="preserve"> </v>
      </c>
      <c r="S66" s="467" t="str">
        <f t="shared" si="14"/>
        <v xml:space="preserve"> </v>
      </c>
      <c r="T66" s="467" t="str">
        <f t="shared" si="15"/>
        <v xml:space="preserve"> </v>
      </c>
      <c r="U66" s="467" t="str">
        <f t="shared" si="16"/>
        <v xml:space="preserve"> </v>
      </c>
      <c r="V66" s="467" t="str">
        <f t="shared" si="17"/>
        <v xml:space="preserve"> </v>
      </c>
      <c r="W66" s="466" t="str">
        <f t="shared" si="18"/>
        <v xml:space="preserve"> </v>
      </c>
    </row>
    <row r="67" spans="1:28" s="295" customFormat="1">
      <c r="A67" s="729"/>
      <c r="B67" s="463">
        <f t="shared" si="5"/>
        <v>0</v>
      </c>
      <c r="C67" s="464" t="str">
        <f t="shared" si="5"/>
        <v/>
      </c>
      <c r="D67" s="464">
        <f t="shared" si="5"/>
        <v>0</v>
      </c>
      <c r="E67" s="464">
        <f t="shared" si="5"/>
        <v>0</v>
      </c>
      <c r="F67" s="465" t="str">
        <f t="shared" si="5"/>
        <v xml:space="preserve"> </v>
      </c>
      <c r="G67" s="466" t="str">
        <f t="shared" si="5"/>
        <v xml:space="preserve"> </v>
      </c>
      <c r="H67" s="466" t="str">
        <f t="shared" si="19"/>
        <v xml:space="preserve"> </v>
      </c>
      <c r="I67" s="467" t="str">
        <f>IF($B67&gt;0,(IF($C67="F",#REF!*$G28,(#REF!/($F28/100))*$G28))," ")</f>
        <v xml:space="preserve"> </v>
      </c>
      <c r="J67" s="467" t="str">
        <f>IF($B67&gt;0,(IF($C67="F",#REF!*$G28,(#REF!/($F28/100))*$G28))," ")</f>
        <v xml:space="preserve"> </v>
      </c>
      <c r="K67" s="466" t="str">
        <f t="shared" si="6"/>
        <v xml:space="preserve"> </v>
      </c>
      <c r="L67" s="467" t="str">
        <f t="shared" si="7"/>
        <v xml:space="preserve"> </v>
      </c>
      <c r="M67" s="467" t="str">
        <f t="shared" si="8"/>
        <v xml:space="preserve"> </v>
      </c>
      <c r="N67" s="467" t="str">
        <f t="shared" si="9"/>
        <v xml:space="preserve"> </v>
      </c>
      <c r="O67" s="467" t="str">
        <f t="shared" si="10"/>
        <v xml:space="preserve"> </v>
      </c>
      <c r="P67" s="467" t="str">
        <f t="shared" si="11"/>
        <v xml:space="preserve"> </v>
      </c>
      <c r="Q67" s="467" t="str">
        <f t="shared" si="12"/>
        <v xml:space="preserve"> </v>
      </c>
      <c r="R67" s="467" t="str">
        <f t="shared" si="13"/>
        <v xml:space="preserve"> </v>
      </c>
      <c r="S67" s="467" t="str">
        <f t="shared" si="14"/>
        <v xml:space="preserve"> </v>
      </c>
      <c r="T67" s="467" t="str">
        <f t="shared" si="15"/>
        <v xml:space="preserve"> </v>
      </c>
      <c r="U67" s="467" t="str">
        <f t="shared" si="16"/>
        <v xml:space="preserve"> </v>
      </c>
      <c r="V67" s="467" t="str">
        <f t="shared" si="17"/>
        <v xml:space="preserve"> </v>
      </c>
      <c r="W67" s="466" t="str">
        <f t="shared" si="18"/>
        <v xml:space="preserve"> </v>
      </c>
    </row>
    <row r="68" spans="1:28" s="295" customFormat="1">
      <c r="A68" s="729"/>
      <c r="B68" s="463">
        <f t="shared" si="5"/>
        <v>0</v>
      </c>
      <c r="C68" s="464" t="str">
        <f t="shared" si="5"/>
        <v/>
      </c>
      <c r="D68" s="464">
        <f t="shared" si="5"/>
        <v>0</v>
      </c>
      <c r="E68" s="464">
        <f t="shared" si="5"/>
        <v>0</v>
      </c>
      <c r="F68" s="465" t="str">
        <f t="shared" si="5"/>
        <v xml:space="preserve"> </v>
      </c>
      <c r="G68" s="466" t="str">
        <f t="shared" si="5"/>
        <v xml:space="preserve"> </v>
      </c>
      <c r="H68" s="466" t="str">
        <f t="shared" si="19"/>
        <v xml:space="preserve"> </v>
      </c>
      <c r="I68" s="467" t="str">
        <f>IF($B68&gt;0,(IF($C68="F",#REF!*$G29,(#REF!/($F29/100))*$G29))," ")</f>
        <v xml:space="preserve"> </v>
      </c>
      <c r="J68" s="467" t="str">
        <f>IF($B68&gt;0,(IF($C68="F",#REF!*$G29,(#REF!/($F29/100))*$G29))," ")</f>
        <v xml:space="preserve"> </v>
      </c>
      <c r="K68" s="466" t="str">
        <f t="shared" si="6"/>
        <v xml:space="preserve"> </v>
      </c>
      <c r="L68" s="467" t="str">
        <f t="shared" si="7"/>
        <v xml:space="preserve"> </v>
      </c>
      <c r="M68" s="467" t="str">
        <f t="shared" si="8"/>
        <v xml:space="preserve"> </v>
      </c>
      <c r="N68" s="467" t="str">
        <f t="shared" si="9"/>
        <v xml:space="preserve"> </v>
      </c>
      <c r="O68" s="467" t="str">
        <f t="shared" si="10"/>
        <v xml:space="preserve"> </v>
      </c>
      <c r="P68" s="467" t="str">
        <f t="shared" si="11"/>
        <v xml:space="preserve"> </v>
      </c>
      <c r="Q68" s="467" t="str">
        <f t="shared" si="12"/>
        <v xml:space="preserve"> </v>
      </c>
      <c r="R68" s="467" t="str">
        <f t="shared" si="13"/>
        <v xml:space="preserve"> </v>
      </c>
      <c r="S68" s="467" t="str">
        <f t="shared" si="14"/>
        <v xml:space="preserve"> </v>
      </c>
      <c r="T68" s="467" t="str">
        <f t="shared" si="15"/>
        <v xml:space="preserve"> </v>
      </c>
      <c r="U68" s="467" t="str">
        <f t="shared" si="16"/>
        <v xml:space="preserve"> </v>
      </c>
      <c r="V68" s="467" t="str">
        <f t="shared" si="17"/>
        <v xml:space="preserve"> </v>
      </c>
      <c r="W68" s="466" t="str">
        <f t="shared" si="18"/>
        <v xml:space="preserve"> </v>
      </c>
    </row>
    <row r="69" spans="1:28" s="295" customFormat="1">
      <c r="A69" s="729"/>
      <c r="B69" s="463">
        <f t="shared" si="5"/>
        <v>0</v>
      </c>
      <c r="C69" s="464" t="str">
        <f t="shared" si="5"/>
        <v/>
      </c>
      <c r="D69" s="464">
        <f t="shared" si="5"/>
        <v>0</v>
      </c>
      <c r="E69" s="464">
        <f t="shared" si="5"/>
        <v>0</v>
      </c>
      <c r="F69" s="465" t="str">
        <f t="shared" si="5"/>
        <v xml:space="preserve"> </v>
      </c>
      <c r="G69" s="466" t="str">
        <f t="shared" si="5"/>
        <v xml:space="preserve"> </v>
      </c>
      <c r="H69" s="466" t="str">
        <f t="shared" si="19"/>
        <v xml:space="preserve"> </v>
      </c>
      <c r="I69" s="467" t="str">
        <f>IF($B69&gt;0,(IF($C69="F",#REF!*$G30,(#REF!/($F30/100))*$G30))," ")</f>
        <v xml:space="preserve"> </v>
      </c>
      <c r="J69" s="467" t="str">
        <f>IF($B69&gt;0,(IF($C69="F",#REF!*$G30,(#REF!/($F30/100))*$G30))," ")</f>
        <v xml:space="preserve"> </v>
      </c>
      <c r="K69" s="466" t="str">
        <f t="shared" si="6"/>
        <v xml:space="preserve"> </v>
      </c>
      <c r="L69" s="467" t="str">
        <f t="shared" si="7"/>
        <v xml:space="preserve"> </v>
      </c>
      <c r="M69" s="467" t="str">
        <f t="shared" si="8"/>
        <v xml:space="preserve"> </v>
      </c>
      <c r="N69" s="467" t="str">
        <f t="shared" si="9"/>
        <v xml:space="preserve"> </v>
      </c>
      <c r="O69" s="467" t="str">
        <f t="shared" si="10"/>
        <v xml:space="preserve"> </v>
      </c>
      <c r="P69" s="467" t="str">
        <f t="shared" si="11"/>
        <v xml:space="preserve"> </v>
      </c>
      <c r="Q69" s="467" t="str">
        <f t="shared" si="12"/>
        <v xml:space="preserve"> </v>
      </c>
      <c r="R69" s="467" t="str">
        <f t="shared" si="13"/>
        <v xml:space="preserve"> </v>
      </c>
      <c r="S69" s="467" t="str">
        <f t="shared" si="14"/>
        <v xml:space="preserve"> </v>
      </c>
      <c r="T69" s="467" t="str">
        <f t="shared" si="15"/>
        <v xml:space="preserve"> </v>
      </c>
      <c r="U69" s="467" t="str">
        <f t="shared" si="16"/>
        <v xml:space="preserve"> </v>
      </c>
      <c r="V69" s="467" t="str">
        <f t="shared" si="17"/>
        <v xml:space="preserve"> </v>
      </c>
      <c r="W69" s="466" t="str">
        <f t="shared" si="18"/>
        <v xml:space="preserve"> </v>
      </c>
    </row>
    <row r="70" spans="1:28" s="295" customFormat="1">
      <c r="A70" s="729"/>
      <c r="B70" s="463">
        <f t="shared" ref="B70:G75" si="20">B31</f>
        <v>0</v>
      </c>
      <c r="C70" s="464" t="str">
        <f t="shared" si="20"/>
        <v/>
      </c>
      <c r="D70" s="464">
        <f t="shared" si="20"/>
        <v>0</v>
      </c>
      <c r="E70" s="464">
        <f t="shared" si="20"/>
        <v>0</v>
      </c>
      <c r="F70" s="465" t="str">
        <f t="shared" si="20"/>
        <v xml:space="preserve"> </v>
      </c>
      <c r="G70" s="466" t="str">
        <f t="shared" si="20"/>
        <v xml:space="preserve"> </v>
      </c>
      <c r="H70" s="466" t="str">
        <f t="shared" si="19"/>
        <v xml:space="preserve"> </v>
      </c>
      <c r="I70" s="467" t="str">
        <f>IF($B70&gt;0,(IF($C70="F",#REF!*$G31,(#REF!/($F31/100))*$G31))," ")</f>
        <v xml:space="preserve"> </v>
      </c>
      <c r="J70" s="467" t="str">
        <f>IF($B70&gt;0,(IF($C70="F",#REF!*$G31,(#REF!/($F31/100))*$G31))," ")</f>
        <v xml:space="preserve"> </v>
      </c>
      <c r="K70" s="466" t="str">
        <f t="shared" si="6"/>
        <v xml:space="preserve"> </v>
      </c>
      <c r="L70" s="467" t="str">
        <f t="shared" si="7"/>
        <v xml:space="preserve"> </v>
      </c>
      <c r="M70" s="467" t="str">
        <f t="shared" si="8"/>
        <v xml:space="preserve"> </v>
      </c>
      <c r="N70" s="467" t="str">
        <f t="shared" si="9"/>
        <v xml:space="preserve"> </v>
      </c>
      <c r="O70" s="467" t="str">
        <f t="shared" si="10"/>
        <v xml:space="preserve"> </v>
      </c>
      <c r="P70" s="467" t="str">
        <f t="shared" si="11"/>
        <v xml:space="preserve"> </v>
      </c>
      <c r="Q70" s="467" t="str">
        <f t="shared" si="12"/>
        <v xml:space="preserve"> </v>
      </c>
      <c r="R70" s="467" t="str">
        <f t="shared" si="13"/>
        <v xml:space="preserve"> </v>
      </c>
      <c r="S70" s="467" t="str">
        <f t="shared" si="14"/>
        <v xml:space="preserve"> </v>
      </c>
      <c r="T70" s="467" t="str">
        <f t="shared" si="15"/>
        <v xml:space="preserve"> </v>
      </c>
      <c r="U70" s="467" t="str">
        <f t="shared" si="16"/>
        <v xml:space="preserve"> </v>
      </c>
      <c r="V70" s="467" t="str">
        <f t="shared" si="17"/>
        <v xml:space="preserve"> </v>
      </c>
      <c r="W70" s="466" t="str">
        <f t="shared" si="18"/>
        <v xml:space="preserve"> </v>
      </c>
    </row>
    <row r="71" spans="1:28" s="295" customFormat="1">
      <c r="A71" s="729"/>
      <c r="B71" s="463">
        <f t="shared" si="20"/>
        <v>0</v>
      </c>
      <c r="C71" s="464" t="str">
        <f t="shared" si="20"/>
        <v/>
      </c>
      <c r="D71" s="464">
        <f t="shared" si="20"/>
        <v>0</v>
      </c>
      <c r="E71" s="464">
        <f t="shared" si="20"/>
        <v>0</v>
      </c>
      <c r="F71" s="465" t="str">
        <f t="shared" si="20"/>
        <v xml:space="preserve"> </v>
      </c>
      <c r="G71" s="466" t="str">
        <f t="shared" si="20"/>
        <v xml:space="preserve"> </v>
      </c>
      <c r="H71" s="466" t="str">
        <f t="shared" si="19"/>
        <v xml:space="preserve"> </v>
      </c>
      <c r="I71" s="467" t="str">
        <f>IF($B71&gt;0,(IF($C71="F",#REF!*$G32,(#REF!/($F32/100))*$G32))," ")</f>
        <v xml:space="preserve"> </v>
      </c>
      <c r="J71" s="467" t="str">
        <f>IF($B71&gt;0,(IF($C71="F",#REF!*$G32,(#REF!/($F32/100))*$G32))," ")</f>
        <v xml:space="preserve"> </v>
      </c>
      <c r="K71" s="466" t="str">
        <f t="shared" si="6"/>
        <v xml:space="preserve"> </v>
      </c>
      <c r="L71" s="467" t="str">
        <f t="shared" si="7"/>
        <v xml:space="preserve"> </v>
      </c>
      <c r="M71" s="467" t="str">
        <f t="shared" si="8"/>
        <v xml:space="preserve"> </v>
      </c>
      <c r="N71" s="467" t="str">
        <f t="shared" si="9"/>
        <v xml:space="preserve"> </v>
      </c>
      <c r="O71" s="467" t="str">
        <f t="shared" si="10"/>
        <v xml:space="preserve"> </v>
      </c>
      <c r="P71" s="467" t="str">
        <f t="shared" si="11"/>
        <v xml:space="preserve"> </v>
      </c>
      <c r="Q71" s="467" t="str">
        <f t="shared" si="12"/>
        <v xml:space="preserve"> </v>
      </c>
      <c r="R71" s="467" t="str">
        <f t="shared" si="13"/>
        <v xml:space="preserve"> </v>
      </c>
      <c r="S71" s="467" t="str">
        <f t="shared" si="14"/>
        <v xml:space="preserve"> </v>
      </c>
      <c r="T71" s="467" t="str">
        <f t="shared" si="15"/>
        <v xml:space="preserve"> </v>
      </c>
      <c r="U71" s="467" t="str">
        <f t="shared" si="16"/>
        <v xml:space="preserve"> </v>
      </c>
      <c r="V71" s="467" t="str">
        <f t="shared" si="17"/>
        <v xml:space="preserve"> </v>
      </c>
      <c r="W71" s="466" t="str">
        <f t="shared" si="18"/>
        <v xml:space="preserve"> </v>
      </c>
    </row>
    <row r="72" spans="1:28" s="295" customFormat="1">
      <c r="A72" s="729"/>
      <c r="B72" s="463">
        <f t="shared" si="20"/>
        <v>0</v>
      </c>
      <c r="C72" s="464" t="str">
        <f t="shared" si="20"/>
        <v/>
      </c>
      <c r="D72" s="464">
        <f t="shared" si="20"/>
        <v>0</v>
      </c>
      <c r="E72" s="464">
        <f t="shared" si="20"/>
        <v>0</v>
      </c>
      <c r="F72" s="465" t="str">
        <f t="shared" si="20"/>
        <v xml:space="preserve"> </v>
      </c>
      <c r="G72" s="466" t="str">
        <f t="shared" si="20"/>
        <v xml:space="preserve"> </v>
      </c>
      <c r="H72" s="466" t="str">
        <f t="shared" si="19"/>
        <v xml:space="preserve"> </v>
      </c>
      <c r="I72" s="467" t="str">
        <f>IF($B72&gt;0,(IF($C72="F",#REF!*$G33,(#REF!/($F33/100))*$G33))," ")</f>
        <v xml:space="preserve"> </v>
      </c>
      <c r="J72" s="467" t="str">
        <f>IF($B72&gt;0,(IF($C72="F",#REF!*$G33,(#REF!/($F33/100))*$G33))," ")</f>
        <v xml:space="preserve"> </v>
      </c>
      <c r="K72" s="466" t="str">
        <f t="shared" si="6"/>
        <v xml:space="preserve"> </v>
      </c>
      <c r="L72" s="467" t="str">
        <f t="shared" si="7"/>
        <v xml:space="preserve"> </v>
      </c>
      <c r="M72" s="467" t="str">
        <f t="shared" si="8"/>
        <v xml:space="preserve"> </v>
      </c>
      <c r="N72" s="467" t="str">
        <f t="shared" si="9"/>
        <v xml:space="preserve"> </v>
      </c>
      <c r="O72" s="467" t="str">
        <f t="shared" si="10"/>
        <v xml:space="preserve"> </v>
      </c>
      <c r="P72" s="467" t="str">
        <f t="shared" si="11"/>
        <v xml:space="preserve"> </v>
      </c>
      <c r="Q72" s="467" t="str">
        <f t="shared" si="12"/>
        <v xml:space="preserve"> </v>
      </c>
      <c r="R72" s="467" t="str">
        <f t="shared" si="13"/>
        <v xml:space="preserve"> </v>
      </c>
      <c r="S72" s="467" t="str">
        <f t="shared" si="14"/>
        <v xml:space="preserve"> </v>
      </c>
      <c r="T72" s="467" t="str">
        <f t="shared" si="15"/>
        <v xml:space="preserve"> </v>
      </c>
      <c r="U72" s="467" t="str">
        <f t="shared" si="16"/>
        <v xml:space="preserve"> </v>
      </c>
      <c r="V72" s="467" t="str">
        <f t="shared" si="17"/>
        <v xml:space="preserve"> </v>
      </c>
      <c r="W72" s="466" t="str">
        <f t="shared" si="18"/>
        <v xml:space="preserve"> </v>
      </c>
    </row>
    <row r="73" spans="1:28" s="295" customFormat="1">
      <c r="A73" s="729"/>
      <c r="B73" s="463">
        <f t="shared" si="20"/>
        <v>0</v>
      </c>
      <c r="C73" s="464" t="str">
        <f t="shared" si="20"/>
        <v/>
      </c>
      <c r="D73" s="464">
        <f t="shared" si="20"/>
        <v>0</v>
      </c>
      <c r="E73" s="464">
        <f t="shared" si="20"/>
        <v>0</v>
      </c>
      <c r="F73" s="465" t="str">
        <f t="shared" si="20"/>
        <v xml:space="preserve"> </v>
      </c>
      <c r="G73" s="466" t="str">
        <f t="shared" si="20"/>
        <v xml:space="preserve"> </v>
      </c>
      <c r="H73" s="466" t="str">
        <f t="shared" si="19"/>
        <v xml:space="preserve"> </v>
      </c>
      <c r="I73" s="467" t="str">
        <f>IF($B73&gt;0,(IF($C73="F",#REF!*$G34,(#REF!/($F34/100))*$G34))," ")</f>
        <v xml:space="preserve"> </v>
      </c>
      <c r="J73" s="467" t="str">
        <f>IF($B73&gt;0,(IF($C73="F",#REF!*$G34,(#REF!/($F34/100))*$G34))," ")</f>
        <v xml:space="preserve"> </v>
      </c>
      <c r="K73" s="466" t="str">
        <f t="shared" si="6"/>
        <v xml:space="preserve"> </v>
      </c>
      <c r="L73" s="467" t="str">
        <f t="shared" si="7"/>
        <v xml:space="preserve"> </v>
      </c>
      <c r="M73" s="467" t="str">
        <f t="shared" si="8"/>
        <v xml:space="preserve"> </v>
      </c>
      <c r="N73" s="467" t="str">
        <f t="shared" si="9"/>
        <v xml:space="preserve"> </v>
      </c>
      <c r="O73" s="467" t="str">
        <f t="shared" si="10"/>
        <v xml:space="preserve"> </v>
      </c>
      <c r="P73" s="467" t="str">
        <f t="shared" si="11"/>
        <v xml:space="preserve"> </v>
      </c>
      <c r="Q73" s="467" t="str">
        <f t="shared" si="12"/>
        <v xml:space="preserve"> </v>
      </c>
      <c r="R73" s="467" t="str">
        <f t="shared" si="13"/>
        <v xml:space="preserve"> </v>
      </c>
      <c r="S73" s="467" t="str">
        <f t="shared" si="14"/>
        <v xml:space="preserve"> </v>
      </c>
      <c r="T73" s="467" t="str">
        <f t="shared" si="15"/>
        <v xml:space="preserve"> </v>
      </c>
      <c r="U73" s="467" t="str">
        <f t="shared" si="16"/>
        <v xml:space="preserve"> </v>
      </c>
      <c r="V73" s="467" t="str">
        <f t="shared" si="17"/>
        <v xml:space="preserve"> </v>
      </c>
      <c r="W73" s="466" t="str">
        <f t="shared" si="18"/>
        <v xml:space="preserve"> </v>
      </c>
    </row>
    <row r="74" spans="1:28" s="295" customFormat="1">
      <c r="A74" s="729"/>
      <c r="B74" s="463">
        <f t="shared" si="20"/>
        <v>0</v>
      </c>
      <c r="C74" s="464" t="str">
        <f t="shared" si="20"/>
        <v/>
      </c>
      <c r="D74" s="464">
        <f t="shared" si="20"/>
        <v>0</v>
      </c>
      <c r="E74" s="464">
        <f t="shared" si="20"/>
        <v>0</v>
      </c>
      <c r="F74" s="465" t="str">
        <f t="shared" si="20"/>
        <v xml:space="preserve"> </v>
      </c>
      <c r="G74" s="466" t="str">
        <f t="shared" si="20"/>
        <v xml:space="preserve"> </v>
      </c>
      <c r="H74" s="466" t="str">
        <f t="shared" si="19"/>
        <v xml:space="preserve"> </v>
      </c>
      <c r="I74" s="467" t="str">
        <f>IF($B74&gt;0,(IF($C74="F",#REF!*$G35,(#REF!/($F35/100))*$G35))," ")</f>
        <v xml:space="preserve"> </v>
      </c>
      <c r="J74" s="467" t="str">
        <f>IF($B74&gt;0,(IF($C74="F",#REF!*$G35,(#REF!/($F35/100))*$G35))," ")</f>
        <v xml:space="preserve"> </v>
      </c>
      <c r="K74" s="466" t="str">
        <f t="shared" si="6"/>
        <v xml:space="preserve"> </v>
      </c>
      <c r="L74" s="467" t="str">
        <f t="shared" si="7"/>
        <v xml:space="preserve"> </v>
      </c>
      <c r="M74" s="467" t="str">
        <f t="shared" si="8"/>
        <v xml:space="preserve"> </v>
      </c>
      <c r="N74" s="467" t="str">
        <f t="shared" si="9"/>
        <v xml:space="preserve"> </v>
      </c>
      <c r="O74" s="467" t="str">
        <f t="shared" si="10"/>
        <v xml:space="preserve"> </v>
      </c>
      <c r="P74" s="467" t="str">
        <f t="shared" si="11"/>
        <v xml:space="preserve"> </v>
      </c>
      <c r="Q74" s="467" t="str">
        <f t="shared" si="12"/>
        <v xml:space="preserve"> </v>
      </c>
      <c r="R74" s="467" t="str">
        <f t="shared" si="13"/>
        <v xml:space="preserve"> </v>
      </c>
      <c r="S74" s="467" t="str">
        <f t="shared" si="14"/>
        <v xml:space="preserve"> </v>
      </c>
      <c r="T74" s="467" t="str">
        <f t="shared" si="15"/>
        <v xml:space="preserve"> </v>
      </c>
      <c r="U74" s="467" t="str">
        <f t="shared" si="16"/>
        <v xml:space="preserve"> </v>
      </c>
      <c r="V74" s="467" t="str">
        <f t="shared" si="17"/>
        <v xml:space="preserve"> </v>
      </c>
      <c r="W74" s="466" t="str">
        <f t="shared" si="18"/>
        <v xml:space="preserve"> </v>
      </c>
    </row>
    <row r="75" spans="1:28" s="295" customFormat="1">
      <c r="A75" s="729"/>
      <c r="B75" s="463">
        <f t="shared" si="20"/>
        <v>0</v>
      </c>
      <c r="C75" s="464" t="str">
        <f t="shared" si="20"/>
        <v/>
      </c>
      <c r="D75" s="464">
        <f t="shared" si="20"/>
        <v>0</v>
      </c>
      <c r="E75" s="464">
        <f t="shared" si="20"/>
        <v>0</v>
      </c>
      <c r="F75" s="465" t="str">
        <f t="shared" si="20"/>
        <v xml:space="preserve"> </v>
      </c>
      <c r="G75" s="466" t="str">
        <f t="shared" si="20"/>
        <v xml:space="preserve"> </v>
      </c>
      <c r="H75" s="466" t="str">
        <f t="shared" si="19"/>
        <v xml:space="preserve"> </v>
      </c>
      <c r="I75" s="467" t="str">
        <f>IF($B75&gt;0,(IF($C75="F",#REF!*$G36,(#REF!/($F36/100))*$G36))," ")</f>
        <v xml:space="preserve"> </v>
      </c>
      <c r="J75" s="467" t="str">
        <f>IF($B75&gt;0,(IF($C75="F",#REF!*$G36,(#REF!/($F36/100))*$G36))," ")</f>
        <v xml:space="preserve"> </v>
      </c>
      <c r="K75" s="466" t="str">
        <f t="shared" si="6"/>
        <v xml:space="preserve"> </v>
      </c>
      <c r="L75" s="467" t="str">
        <f t="shared" si="7"/>
        <v xml:space="preserve"> </v>
      </c>
      <c r="M75" s="467" t="str">
        <f t="shared" si="8"/>
        <v xml:space="preserve"> </v>
      </c>
      <c r="N75" s="467" t="str">
        <f t="shared" si="9"/>
        <v xml:space="preserve"> </v>
      </c>
      <c r="O75" s="467" t="str">
        <f t="shared" si="10"/>
        <v xml:space="preserve"> </v>
      </c>
      <c r="P75" s="467" t="str">
        <f t="shared" si="11"/>
        <v xml:space="preserve"> </v>
      </c>
      <c r="Q75" s="467" t="str">
        <f t="shared" si="12"/>
        <v xml:space="preserve"> </v>
      </c>
      <c r="R75" s="467" t="str">
        <f t="shared" si="13"/>
        <v xml:space="preserve"> </v>
      </c>
      <c r="S75" s="467" t="str">
        <f t="shared" si="14"/>
        <v xml:space="preserve"> </v>
      </c>
      <c r="T75" s="467" t="str">
        <f t="shared" si="15"/>
        <v xml:space="preserve"> </v>
      </c>
      <c r="U75" s="467" t="str">
        <f t="shared" si="16"/>
        <v xml:space="preserve"> </v>
      </c>
      <c r="V75" s="467" t="str">
        <f t="shared" si="17"/>
        <v xml:space="preserve"> </v>
      </c>
      <c r="W75" s="466" t="str">
        <f t="shared" si="18"/>
        <v xml:space="preserve"> </v>
      </c>
    </row>
    <row r="76" spans="1:28" s="295" customFormat="1">
      <c r="A76" s="463"/>
      <c r="B76" s="463"/>
      <c r="C76" s="463"/>
      <c r="D76" s="468">
        <f>SUM(D60:D75)</f>
        <v>0</v>
      </c>
      <c r="E76" s="469" t="e">
        <f>G76/D76</f>
        <v>#DIV/0!</v>
      </c>
      <c r="F76" s="463"/>
      <c r="G76" s="468">
        <f t="shared" ref="G76:W76" si="21">SUM(G60:G75)</f>
        <v>0</v>
      </c>
      <c r="H76" s="471" t="e">
        <f t="shared" si="21"/>
        <v>#VALUE!</v>
      </c>
      <c r="I76" s="470">
        <f>SUM(I60:I75)</f>
        <v>0</v>
      </c>
      <c r="J76" s="470">
        <f t="shared" si="21"/>
        <v>0</v>
      </c>
      <c r="K76" s="471">
        <f t="shared" si="21"/>
        <v>0</v>
      </c>
      <c r="L76" s="470">
        <f t="shared" si="21"/>
        <v>0</v>
      </c>
      <c r="M76" s="470">
        <f t="shared" si="21"/>
        <v>0</v>
      </c>
      <c r="N76" s="470">
        <f t="shared" si="21"/>
        <v>0</v>
      </c>
      <c r="O76" s="468">
        <f t="shared" si="21"/>
        <v>0</v>
      </c>
      <c r="P76" s="468">
        <f t="shared" si="21"/>
        <v>0</v>
      </c>
      <c r="Q76" s="470">
        <f t="shared" si="21"/>
        <v>0</v>
      </c>
      <c r="R76" s="470">
        <f t="shared" si="21"/>
        <v>0</v>
      </c>
      <c r="S76" s="470">
        <f t="shared" si="21"/>
        <v>0</v>
      </c>
      <c r="T76" s="470">
        <f t="shared" si="21"/>
        <v>0</v>
      </c>
      <c r="U76" s="470">
        <f t="shared" si="21"/>
        <v>0</v>
      </c>
      <c r="V76" s="470">
        <f t="shared" si="21"/>
        <v>0</v>
      </c>
      <c r="W76" s="471">
        <f t="shared" si="21"/>
        <v>0</v>
      </c>
    </row>
    <row r="77" spans="1:28" s="295" customFormat="1">
      <c r="A77" s="411"/>
      <c r="B77" s="411"/>
      <c r="C77" s="411"/>
      <c r="D77" s="411"/>
      <c r="E77" s="411"/>
      <c r="F77" s="411"/>
      <c r="G77" s="411"/>
      <c r="H77" s="472" t="str">
        <f>IF(A77&gt;0,(IF($C$60="F",H38*$G$21,(H38/($F$21/100))*$G$21))," ")</f>
        <v xml:space="preserve"> </v>
      </c>
      <c r="I77" s="411"/>
      <c r="J77" s="411"/>
      <c r="K77" s="411"/>
      <c r="L77" s="411"/>
      <c r="M77" s="411"/>
      <c r="N77" s="411"/>
      <c r="O77" s="411"/>
      <c r="P77" s="411"/>
      <c r="Q77" s="411"/>
      <c r="R77" s="411"/>
      <c r="S77" s="411"/>
      <c r="T77" s="411"/>
      <c r="U77" s="411"/>
      <c r="V77" s="411"/>
      <c r="W77" s="411"/>
    </row>
    <row r="78" spans="1:28" s="295" customFormat="1">
      <c r="A78" s="411" t="s">
        <v>222</v>
      </c>
      <c r="B78" s="411"/>
      <c r="C78" s="411"/>
      <c r="D78" s="411"/>
      <c r="E78" s="411"/>
      <c r="F78" s="411"/>
      <c r="G78" s="411"/>
      <c r="H78" s="411"/>
      <c r="I78" s="411" t="s">
        <v>397</v>
      </c>
      <c r="J78" s="411"/>
      <c r="K78" s="411"/>
      <c r="L78" s="411"/>
      <c r="M78" s="411"/>
      <c r="N78" s="411"/>
      <c r="O78" s="411"/>
      <c r="P78" s="411"/>
      <c r="Q78" s="411"/>
      <c r="R78" s="411"/>
      <c r="S78" s="411"/>
      <c r="T78" s="411"/>
      <c r="U78" s="411"/>
      <c r="V78" s="411"/>
      <c r="W78" s="411"/>
    </row>
    <row r="79" spans="1:28" s="295" customFormat="1">
      <c r="A79" s="473"/>
      <c r="B79" s="411" t="s">
        <v>42</v>
      </c>
      <c r="C79" s="411" t="s">
        <v>44</v>
      </c>
      <c r="D79" s="411" t="s">
        <v>46</v>
      </c>
      <c r="E79" s="411" t="s">
        <v>217</v>
      </c>
      <c r="F79" s="411"/>
      <c r="G79" s="411" t="s">
        <v>330</v>
      </c>
      <c r="H79" s="411" t="s">
        <v>398</v>
      </c>
      <c r="I79" s="730" t="s">
        <v>399</v>
      </c>
      <c r="J79" s="730" t="s">
        <v>400</v>
      </c>
      <c r="K79" s="411"/>
      <c r="L79" s="411"/>
      <c r="M79" s="411" t="s">
        <v>401</v>
      </c>
      <c r="N79" s="411"/>
      <c r="O79" s="411" t="s">
        <v>394</v>
      </c>
      <c r="P79" s="411"/>
      <c r="Q79" s="411"/>
      <c r="R79" s="411"/>
      <c r="S79" s="411"/>
      <c r="T79" s="411" t="s">
        <v>46</v>
      </c>
      <c r="U79" s="411" t="s">
        <v>217</v>
      </c>
      <c r="V79" s="411" t="s">
        <v>402</v>
      </c>
      <c r="W79" s="411" t="s">
        <v>403</v>
      </c>
      <c r="X79" s="295" t="s">
        <v>404</v>
      </c>
      <c r="Y79" s="295" t="s">
        <v>405</v>
      </c>
      <c r="Z79" s="295" t="s">
        <v>406</v>
      </c>
      <c r="AA79" s="295" t="s">
        <v>407</v>
      </c>
      <c r="AB79" s="295" t="s">
        <v>408</v>
      </c>
    </row>
    <row r="80" spans="1:28" s="295" customFormat="1">
      <c r="A80" s="473">
        <v>1</v>
      </c>
      <c r="B80" s="411">
        <v>660</v>
      </c>
      <c r="C80" s="411">
        <v>64</v>
      </c>
      <c r="D80" s="411">
        <v>0.85</v>
      </c>
      <c r="E80" s="411">
        <v>110</v>
      </c>
      <c r="F80" s="411"/>
      <c r="G80" s="411">
        <v>1</v>
      </c>
      <c r="H80" s="411">
        <v>0</v>
      </c>
      <c r="I80" s="411">
        <v>0</v>
      </c>
      <c r="J80" s="411">
        <v>0</v>
      </c>
      <c r="K80" s="411">
        <v>0</v>
      </c>
      <c r="L80" s="411"/>
      <c r="M80" s="731" t="s">
        <v>409</v>
      </c>
      <c r="N80" s="411"/>
      <c r="O80" s="411"/>
      <c r="P80" s="411" t="s">
        <v>410</v>
      </c>
      <c r="Q80" s="411"/>
      <c r="R80" s="411"/>
      <c r="S80" s="732">
        <v>1</v>
      </c>
      <c r="T80" s="416">
        <f>0.0525+0.0035*$D$12</f>
        <v>0.92749999999999999</v>
      </c>
      <c r="U80" s="733">
        <f>7.5+0.37*$D$12</f>
        <v>100</v>
      </c>
      <c r="V80" s="734">
        <f>0.07+0.0054*$D$12</f>
        <v>1.4200000000000002</v>
      </c>
      <c r="W80" s="411">
        <f>0.42+0.032*$D$9</f>
        <v>2.34</v>
      </c>
      <c r="X80" s="301">
        <f>0.0024*$D$12+1.12</f>
        <v>1.7200000000000002</v>
      </c>
      <c r="Y80" s="295">
        <f>(($D$9-60)*(0.02))</f>
        <v>0</v>
      </c>
      <c r="Z80" s="295">
        <v>0</v>
      </c>
      <c r="AA80" s="295">
        <f>IF($D$10&lt;2,((2-$D$10)/0.5)*0.1,0)</f>
        <v>0</v>
      </c>
      <c r="AB80" s="301">
        <f>SUM(X80:AA80)</f>
        <v>1.7200000000000002</v>
      </c>
    </row>
    <row r="81" spans="1:28" s="295" customFormat="1">
      <c r="A81" s="473">
        <v>2</v>
      </c>
      <c r="B81" s="411">
        <v>330</v>
      </c>
      <c r="C81" s="411">
        <v>37</v>
      </c>
      <c r="D81" s="411">
        <v>0.37</v>
      </c>
      <c r="E81" s="411">
        <v>47</v>
      </c>
      <c r="F81" s="411"/>
      <c r="G81" s="411">
        <v>1.5</v>
      </c>
      <c r="H81" s="411">
        <v>0</v>
      </c>
      <c r="I81" s="411">
        <v>0</v>
      </c>
      <c r="J81" s="411">
        <v>0</v>
      </c>
      <c r="K81" s="411">
        <v>0</v>
      </c>
      <c r="L81" s="411"/>
      <c r="M81" s="731" t="s">
        <v>389</v>
      </c>
      <c r="N81" s="411"/>
      <c r="O81" s="735">
        <v>1</v>
      </c>
      <c r="P81" s="736">
        <v>0</v>
      </c>
      <c r="Q81" s="411"/>
      <c r="R81" s="411"/>
      <c r="S81" s="732">
        <v>2</v>
      </c>
      <c r="T81" s="416">
        <f>0.025+0.0029*$D$12</f>
        <v>0.75</v>
      </c>
      <c r="U81" s="733">
        <f>0.45+0.331*$D$12</f>
        <v>83.2</v>
      </c>
      <c r="V81" s="734">
        <f>-0.01+0.0048*$D$12</f>
        <v>1.19</v>
      </c>
      <c r="W81" s="411">
        <f>0.48+0.028*$D$9</f>
        <v>2.16</v>
      </c>
      <c r="X81" s="301">
        <f>0.003*$D$12+1.4</f>
        <v>2.15</v>
      </c>
      <c r="Y81" s="295">
        <f t="shared" ref="Y81:Y83" si="22">(($D$9-60)*(0.02))</f>
        <v>0</v>
      </c>
      <c r="Z81" s="295">
        <f>-0.15*$D$10+0.45</f>
        <v>7.5000000000000011E-2</v>
      </c>
      <c r="AA81" s="295">
        <f t="shared" ref="AA81:AA83" si="23">IF($D$10&lt;2,((2-$D$10)/0.5)*0.1,0)</f>
        <v>0</v>
      </c>
      <c r="AB81" s="301">
        <f t="shared" ref="AB81:AB83" si="24">SUM(X81:AA81)</f>
        <v>2.2250000000000001</v>
      </c>
    </row>
    <row r="82" spans="1:28" s="295" customFormat="1">
      <c r="A82" s="473" t="s">
        <v>183</v>
      </c>
      <c r="B82" s="411">
        <v>0</v>
      </c>
      <c r="C82" s="411">
        <v>0</v>
      </c>
      <c r="D82" s="411">
        <v>0</v>
      </c>
      <c r="E82" s="411">
        <v>0</v>
      </c>
      <c r="F82" s="411"/>
      <c r="G82" s="411">
        <v>2</v>
      </c>
      <c r="H82" s="411">
        <v>0</v>
      </c>
      <c r="I82" s="411">
        <v>0</v>
      </c>
      <c r="J82" s="411">
        <v>0</v>
      </c>
      <c r="K82" s="411">
        <v>0</v>
      </c>
      <c r="L82" s="411"/>
      <c r="M82" s="731" t="s">
        <v>411</v>
      </c>
      <c r="N82" s="411"/>
      <c r="O82" s="737">
        <v>1.5</v>
      </c>
      <c r="P82" s="416">
        <v>0</v>
      </c>
      <c r="Q82" s="411"/>
      <c r="R82" s="411"/>
      <c r="S82" s="732">
        <v>3</v>
      </c>
      <c r="T82" s="416">
        <f>0.0425+0.0021*$D$12</f>
        <v>0.5675</v>
      </c>
      <c r="U82" s="733">
        <f>3.5+0.23*$D$12</f>
        <v>61</v>
      </c>
      <c r="V82" s="734">
        <f>0.0575+0.003*$D$12</f>
        <v>0.8075</v>
      </c>
      <c r="W82" s="411">
        <f>0.34+0.024*$D$9</f>
        <v>1.78</v>
      </c>
      <c r="X82" s="301">
        <f>0.0017*$D$12+1.4725</f>
        <v>1.8975</v>
      </c>
      <c r="Y82" s="295">
        <f t="shared" si="22"/>
        <v>0</v>
      </c>
      <c r="Z82" s="295">
        <f>-0.15*$D$10+0.45</f>
        <v>7.5000000000000011E-2</v>
      </c>
      <c r="AA82" s="295">
        <f t="shared" si="23"/>
        <v>0</v>
      </c>
      <c r="AB82" s="301">
        <f t="shared" si="24"/>
        <v>1.9724999999999999</v>
      </c>
    </row>
    <row r="83" spans="1:28" s="295" customFormat="1">
      <c r="A83" s="411"/>
      <c r="B83" s="411"/>
      <c r="C83" s="411"/>
      <c r="D83" s="411"/>
      <c r="E83" s="411"/>
      <c r="F83" s="411"/>
      <c r="G83" s="411">
        <v>2.5</v>
      </c>
      <c r="H83" s="411">
        <v>-0.6</v>
      </c>
      <c r="I83" s="416">
        <f>0.68*J10</f>
        <v>0.48376705634709638</v>
      </c>
      <c r="J83" s="416">
        <f>0.36*J10</f>
        <v>0.25611197100728633</v>
      </c>
      <c r="K83" s="411">
        <v>0</v>
      </c>
      <c r="L83" s="411"/>
      <c r="M83" s="731" t="s">
        <v>412</v>
      </c>
      <c r="N83" s="411"/>
      <c r="O83" s="737">
        <v>2</v>
      </c>
      <c r="P83" s="416">
        <v>0</v>
      </c>
      <c r="Q83" s="411"/>
      <c r="R83" s="411"/>
      <c r="S83" s="732">
        <v>4</v>
      </c>
      <c r="T83" s="416">
        <f>0.005+0.0013*$D$12</f>
        <v>0.33</v>
      </c>
      <c r="U83" s="733">
        <f>4.5+0.13*$D$12</f>
        <v>37</v>
      </c>
      <c r="V83" s="734">
        <f>0.04+0.0016*$D$12</f>
        <v>0.44</v>
      </c>
      <c r="W83" s="411">
        <f>0.34+0.024*$D$9</f>
        <v>1.78</v>
      </c>
      <c r="X83" s="301">
        <f>0.0009*$D$12+1.445</f>
        <v>1.6700000000000002</v>
      </c>
      <c r="Y83" s="295">
        <f t="shared" si="22"/>
        <v>0</v>
      </c>
      <c r="Z83" s="295">
        <f>-0.25*$D$10+0.75</f>
        <v>0.125</v>
      </c>
      <c r="AA83" s="295">
        <f t="shared" si="23"/>
        <v>0</v>
      </c>
      <c r="AB83" s="301">
        <f t="shared" si="24"/>
        <v>1.7950000000000002</v>
      </c>
    </row>
    <row r="84" spans="1:28" s="295" customFormat="1">
      <c r="A84" s="411"/>
      <c r="B84" s="411"/>
      <c r="C84" s="411"/>
      <c r="D84" s="411"/>
      <c r="E84" s="411"/>
      <c r="F84" s="411"/>
      <c r="G84" s="411">
        <v>3</v>
      </c>
      <c r="H84" s="411">
        <v>-0.6</v>
      </c>
      <c r="I84" s="416">
        <f>0.68*J10</f>
        <v>0.48376705634709638</v>
      </c>
      <c r="J84" s="416">
        <f>0.36*J10</f>
        <v>0.25611197100728633</v>
      </c>
      <c r="K84" s="411">
        <v>0</v>
      </c>
      <c r="L84" s="411"/>
      <c r="M84" s="411"/>
      <c r="N84" s="411"/>
      <c r="O84" s="737">
        <v>2.5</v>
      </c>
      <c r="P84" s="416">
        <f>0.51*$J$10</f>
        <v>0.36282529226032229</v>
      </c>
      <c r="Q84" s="411"/>
      <c r="R84" s="411"/>
      <c r="S84" s="411"/>
      <c r="T84" s="411"/>
      <c r="U84" s="411"/>
      <c r="V84" s="411"/>
      <c r="W84" s="411"/>
    </row>
    <row r="85" spans="1:28" s="295" customFormat="1">
      <c r="A85" s="411"/>
      <c r="B85" s="411"/>
      <c r="C85" s="411"/>
      <c r="D85" s="411"/>
      <c r="E85" s="411"/>
      <c r="F85" s="411"/>
      <c r="G85" s="411">
        <v>3.5</v>
      </c>
      <c r="H85" s="411">
        <v>-1</v>
      </c>
      <c r="I85" s="416">
        <f>1.13*$J$10</f>
        <v>0.80390702010620418</v>
      </c>
      <c r="J85" s="416">
        <f>0.57*$J$10</f>
        <v>0.40551062076153666</v>
      </c>
      <c r="K85" s="411">
        <v>0</v>
      </c>
      <c r="L85" s="411"/>
      <c r="M85" s="411"/>
      <c r="N85" s="411">
        <f>_xlfn.XMATCH(D11,M80:M83)</f>
        <v>2</v>
      </c>
      <c r="O85" s="735">
        <v>3</v>
      </c>
      <c r="P85" s="416">
        <f>0.51*$J$10</f>
        <v>0.36282529226032229</v>
      </c>
      <c r="Q85" s="411"/>
      <c r="R85" s="411"/>
      <c r="S85" s="411"/>
      <c r="T85" s="411"/>
      <c r="U85" s="411"/>
      <c r="V85" s="411"/>
      <c r="W85" s="411"/>
    </row>
    <row r="86" spans="1:28" s="295" customFormat="1">
      <c r="A86" s="411"/>
      <c r="B86" s="411"/>
      <c r="C86" s="411"/>
      <c r="D86" s="411"/>
      <c r="E86" s="411"/>
      <c r="F86" s="411"/>
      <c r="G86" s="411">
        <v>4</v>
      </c>
      <c r="H86" s="411">
        <v>-1</v>
      </c>
      <c r="I86" s="416">
        <f>1.13*$J$10</f>
        <v>0.80390702010620418</v>
      </c>
      <c r="J86" s="416">
        <f>0.57*$J$10</f>
        <v>0.40551062076153666</v>
      </c>
      <c r="K86" s="411">
        <v>0</v>
      </c>
      <c r="L86" s="411"/>
      <c r="M86" s="411"/>
      <c r="N86" s="411"/>
      <c r="O86" s="735">
        <v>3.5</v>
      </c>
      <c r="P86" s="416">
        <f>0.85*$J$10</f>
        <v>0.60470882043387042</v>
      </c>
      <c r="Q86" s="411"/>
      <c r="R86" s="411"/>
      <c r="S86" s="411"/>
      <c r="T86" s="411"/>
      <c r="U86" s="411"/>
      <c r="V86" s="411"/>
      <c r="W86" s="411"/>
    </row>
    <row r="87" spans="1:28" s="295" customFormat="1">
      <c r="A87" s="411"/>
      <c r="B87" s="411"/>
      <c r="C87" s="411"/>
      <c r="D87" s="411"/>
      <c r="E87" s="411"/>
      <c r="F87" s="411"/>
      <c r="G87" s="411">
        <v>4.5</v>
      </c>
      <c r="H87" s="411">
        <v>-1</v>
      </c>
      <c r="I87" s="416">
        <f>1.13*$J$10</f>
        <v>0.80390702010620418</v>
      </c>
      <c r="J87" s="416">
        <f>0.57*$J$10</f>
        <v>0.40551062076153666</v>
      </c>
      <c r="K87" s="411">
        <v>0</v>
      </c>
      <c r="L87" s="411"/>
      <c r="M87" s="411"/>
      <c r="N87" s="411"/>
      <c r="O87" s="735">
        <v>4</v>
      </c>
      <c r="P87" s="416">
        <f>0.85*$J$10</f>
        <v>0.60470882043387042</v>
      </c>
      <c r="Q87" s="411"/>
      <c r="R87" s="411"/>
      <c r="S87" s="411"/>
      <c r="T87" s="411"/>
      <c r="U87" s="411"/>
      <c r="V87" s="411"/>
      <c r="W87" s="411"/>
    </row>
    <row r="88" spans="1:28" s="295" customFormat="1">
      <c r="A88" s="411"/>
      <c r="B88" s="411"/>
      <c r="C88" s="411"/>
      <c r="D88" s="411"/>
      <c r="E88" s="411"/>
      <c r="F88" s="411"/>
      <c r="G88" s="411"/>
      <c r="H88" s="411"/>
      <c r="I88" s="411"/>
      <c r="J88" s="411"/>
      <c r="K88" s="411"/>
      <c r="L88" s="411"/>
      <c r="M88" s="411"/>
      <c r="N88" s="411"/>
      <c r="O88" s="735">
        <v>4.5</v>
      </c>
      <c r="P88" s="416">
        <f>0.85*$J$10</f>
        <v>0.60470882043387042</v>
      </c>
      <c r="Q88" s="411"/>
      <c r="R88" s="411"/>
      <c r="S88" s="411"/>
      <c r="T88" s="411"/>
      <c r="U88" s="411"/>
      <c r="V88" s="411"/>
      <c r="W88" s="411"/>
    </row>
    <row r="89" spans="1:28" s="295" customFormat="1">
      <c r="A89" s="411"/>
      <c r="B89" s="411"/>
      <c r="C89" s="411"/>
      <c r="D89" s="411"/>
      <c r="E89" s="411"/>
      <c r="F89" s="411"/>
      <c r="G89" s="411"/>
      <c r="H89" s="411"/>
      <c r="I89" s="411"/>
      <c r="J89" s="411"/>
      <c r="K89" s="411"/>
      <c r="L89" s="411"/>
      <c r="M89" s="411"/>
      <c r="N89" s="411"/>
      <c r="O89" s="411"/>
      <c r="P89" s="411"/>
      <c r="Q89" s="411"/>
      <c r="R89" s="411"/>
      <c r="S89" s="411"/>
      <c r="T89" s="411"/>
      <c r="U89" s="411"/>
      <c r="V89" s="411"/>
      <c r="W89" s="411"/>
    </row>
    <row r="90" spans="1:28" s="295" customFormat="1">
      <c r="A90" s="411"/>
      <c r="B90" s="411"/>
      <c r="C90" s="411"/>
      <c r="D90" s="411"/>
      <c r="E90" s="411"/>
      <c r="F90" s="411"/>
      <c r="G90" s="411"/>
      <c r="H90" s="411"/>
      <c r="I90" s="411" t="s">
        <v>413</v>
      </c>
      <c r="J90" s="411" t="s">
        <v>414</v>
      </c>
      <c r="K90" s="411"/>
      <c r="L90" s="473" t="s">
        <v>415</v>
      </c>
      <c r="M90" s="472" t="s">
        <v>416</v>
      </c>
      <c r="N90" s="411"/>
      <c r="O90" s="411"/>
      <c r="P90" s="411"/>
      <c r="Q90" s="411"/>
      <c r="R90" s="411"/>
      <c r="S90" s="411"/>
      <c r="T90" s="411"/>
      <c r="U90" s="411"/>
      <c r="V90" s="411"/>
      <c r="W90" s="411"/>
    </row>
    <row r="91" spans="1:28" s="295" customFormat="1">
      <c r="A91" s="411"/>
      <c r="B91" s="411"/>
      <c r="C91" s="411"/>
      <c r="D91" s="411"/>
      <c r="E91" s="411"/>
      <c r="F91" s="411"/>
      <c r="G91" s="411"/>
      <c r="H91" s="411"/>
      <c r="I91" s="411">
        <v>1</v>
      </c>
      <c r="J91" s="738">
        <v>3</v>
      </c>
      <c r="K91" s="411"/>
      <c r="L91" s="416" t="e">
        <f>(SUMIF(C60:C75,"F",H60:H75))/SUMIF(C60:C75,"F",G60:G75)</f>
        <v>#DIV/0!</v>
      </c>
      <c r="M91" s="416" t="e">
        <f>-1.6*L91+2.8975</f>
        <v>#DIV/0!</v>
      </c>
      <c r="N91" s="411"/>
      <c r="O91" s="411"/>
      <c r="P91" s="411"/>
      <c r="Q91" s="411"/>
      <c r="R91" s="411"/>
      <c r="S91" s="411"/>
      <c r="T91" s="411"/>
      <c r="U91" s="411"/>
      <c r="V91" s="411"/>
      <c r="W91" s="411"/>
    </row>
    <row r="92" spans="1:28" s="295" customFormat="1">
      <c r="A92" s="411"/>
      <c r="B92" s="411"/>
      <c r="C92" s="411"/>
      <c r="D92" s="411"/>
      <c r="E92" s="411"/>
      <c r="F92" s="411"/>
      <c r="G92" s="411"/>
      <c r="H92" s="411"/>
      <c r="I92" s="411">
        <v>2</v>
      </c>
      <c r="J92" s="738">
        <v>4</v>
      </c>
      <c r="K92" s="411"/>
      <c r="L92" s="411"/>
      <c r="M92" s="411"/>
      <c r="N92" s="411"/>
      <c r="O92" s="411"/>
      <c r="P92" s="411"/>
      <c r="Q92" s="411"/>
      <c r="R92" s="411"/>
      <c r="S92" s="411"/>
      <c r="T92" s="411"/>
      <c r="U92" s="411"/>
      <c r="V92" s="411"/>
      <c r="W92" s="411"/>
    </row>
    <row r="93" spans="1:28" s="295" customFormat="1">
      <c r="A93" s="411"/>
      <c r="B93" s="411"/>
      <c r="C93" s="411"/>
      <c r="D93" s="411"/>
      <c r="E93" s="411"/>
      <c r="F93" s="411"/>
      <c r="G93" s="411"/>
      <c r="H93" s="411"/>
      <c r="I93" s="411">
        <v>3</v>
      </c>
      <c r="J93" s="738">
        <v>5</v>
      </c>
      <c r="K93" s="411"/>
      <c r="L93" s="411"/>
      <c r="M93" s="411"/>
      <c r="N93" s="411"/>
      <c r="O93" s="411"/>
      <c r="P93" s="411"/>
      <c r="Q93" s="411"/>
      <c r="R93" s="411"/>
      <c r="S93" s="411"/>
      <c r="T93" s="411"/>
      <c r="U93" s="411"/>
      <c r="V93" s="411"/>
      <c r="W93" s="411"/>
    </row>
    <row r="94" spans="1:28" s="295" customFormat="1">
      <c r="A94" s="411"/>
      <c r="B94" s="411"/>
      <c r="C94" s="411"/>
      <c r="D94" s="411"/>
      <c r="E94" s="411"/>
      <c r="F94" s="411"/>
      <c r="G94" s="411"/>
      <c r="H94" s="411"/>
      <c r="I94" s="411">
        <v>4</v>
      </c>
      <c r="J94" s="738">
        <v>5</v>
      </c>
      <c r="K94" s="411"/>
      <c r="L94" s="411"/>
      <c r="M94" s="411"/>
      <c r="N94" s="411"/>
      <c r="O94" s="411"/>
      <c r="P94" s="411"/>
      <c r="Q94" s="411"/>
      <c r="R94" s="411"/>
      <c r="S94" s="411"/>
      <c r="T94" s="411"/>
      <c r="U94" s="411"/>
      <c r="V94" s="411"/>
      <c r="W94" s="411"/>
    </row>
    <row r="95" spans="1:28" s="116" customFormat="1"/>
  </sheetData>
  <sheetProtection algorithmName="SHA-512" hashValue="VMGgjpJqZ2dn1l4XhMwM0NntJ7juYMRp7TwFAhJLJpeq3b4L3xx3+nVMLjXDFaFfncA1e068YR/MB8MIkpwkHg==" saltValue="HtUm3+px5zd13D7LgwgKLA==" spinCount="100000" sheet="1" objects="1" scenarios="1"/>
  <protectedRanges>
    <protectedRange algorithmName="SHA-512" hashValue="x5NllUJNcW/3ID1tHctVXpa97JaEp57w8WFb4B9sZvWthV3T9Gs0NMd/BcE7TdES9IS3ixulJRJ3Cnbnxs5T6Q==" saltValue="ZckdvCHrQiJF+gdZ226W6A==" spinCount="100000" sqref="C3:F5 B21:B36 U21:U36 D21:E36 D9:D14" name="Plage1"/>
  </protectedRanges>
  <mergeCells count="8">
    <mergeCell ref="R38:U38"/>
    <mergeCell ref="B47:C47"/>
    <mergeCell ref="O3:U3"/>
    <mergeCell ref="E7:E8"/>
    <mergeCell ref="B1:W1"/>
    <mergeCell ref="C3:F3"/>
    <mergeCell ref="C4:F4"/>
    <mergeCell ref="C5:F5"/>
  </mergeCells>
  <conditionalFormatting sqref="I42:K42 M42:N42">
    <cfRule type="cellIs" dxfId="24" priority="1" operator="lessThanOrEqual">
      <formula>0.93</formula>
    </cfRule>
    <cfRule type="cellIs" dxfId="23" priority="2" operator="greaterThan">
      <formula>0.98</formula>
    </cfRule>
  </conditionalFormatting>
  <conditionalFormatting sqref="N3:N4">
    <cfRule type="cellIs" dxfId="22" priority="4" operator="greaterThan">
      <formula>1.2</formula>
    </cfRule>
    <cfRule type="cellIs" dxfId="21" priority="5" operator="lessThan">
      <formula>0.5</formula>
    </cfRule>
  </conditionalFormatting>
  <conditionalFormatting sqref="N5">
    <cfRule type="cellIs" dxfId="20" priority="3" operator="lessThan">
      <formula>-13</formula>
    </cfRule>
  </conditionalFormatting>
  <conditionalFormatting sqref="P41">
    <cfRule type="expression" dxfId="19" priority="152">
      <formula>$P$41&lt;$P$44</formula>
    </cfRule>
    <cfRule type="expression" dxfId="18" priority="153">
      <formula>$P$41&gt;$P$45</formula>
    </cfRule>
  </conditionalFormatting>
  <conditionalFormatting sqref="Q41">
    <cfRule type="expression" dxfId="17" priority="154">
      <formula>$Q$41&lt;$Q$44</formula>
    </cfRule>
  </conditionalFormatting>
  <conditionalFormatting sqref="R41">
    <cfRule type="expression" dxfId="16" priority="155">
      <formula>$R$41&lt;$R$44</formula>
    </cfRule>
  </conditionalFormatting>
  <conditionalFormatting sqref="S41">
    <cfRule type="expression" dxfId="15" priority="156">
      <formula>$S$41&lt;$S$44</formula>
    </cfRule>
  </conditionalFormatting>
  <conditionalFormatting sqref="T41">
    <cfRule type="expression" dxfId="14" priority="157">
      <formula>$T$41&gt;$T$45</formula>
    </cfRule>
  </conditionalFormatting>
  <dataValidations count="2">
    <dataValidation type="list" allowBlank="1" showInputMessage="1" showErrorMessage="1" sqref="D10" xr:uid="{DB75283D-8559-44CF-95EA-5B9BEFAA1BC1}">
      <formula1>$G$80:$G$87</formula1>
    </dataValidation>
    <dataValidation type="list" allowBlank="1" showInputMessage="1" showErrorMessage="1" sqref="D11" xr:uid="{9D7987B7-9AF2-404D-A4B7-BE2ED8CB2C71}">
      <formula1>$M$80:$M$83</formula1>
    </dataValidation>
  </dataValidations>
  <pageMargins left="0.25" right="0.25" top="0.75" bottom="0.75" header="0.3" footer="0.3"/>
  <pageSetup paperSize="8" scale="51"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E5B56AD-0223-4107-A2D9-471E0D8FAA32}">
          <x14:formula1>
            <xm:f>'Liste des aliments'!$C$6:$C$967</xm:f>
          </x14:formula1>
          <xm:sqref>B21:B36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DAB90-100A-4D6C-8234-87D757CB686B}">
  <sheetPr>
    <tabColor theme="0" tint="-0.249977111117893"/>
  </sheetPr>
  <dimension ref="A2:H59"/>
  <sheetViews>
    <sheetView showGridLines="0" zoomScaleNormal="100" zoomScaleSheetLayoutView="145" workbookViewId="0">
      <selection activeCell="N5" sqref="N5"/>
    </sheetView>
  </sheetViews>
  <sheetFormatPr baseColWidth="10" defaultColWidth="11.44140625" defaultRowHeight="14.4"/>
  <cols>
    <col min="1" max="1" width="28.33203125" customWidth="1"/>
    <col min="2" max="2" width="10.109375" customWidth="1"/>
    <col min="3" max="3" width="9.109375" customWidth="1"/>
    <col min="4" max="4" width="8.6640625" customWidth="1"/>
    <col min="5" max="5" width="11.44140625" customWidth="1"/>
    <col min="6" max="6" width="7.6640625" customWidth="1"/>
    <col min="7" max="7" width="5.6640625" customWidth="1"/>
    <col min="8" max="8" width="17.5546875" customWidth="1"/>
  </cols>
  <sheetData>
    <row r="2" spans="1:8" ht="24" customHeight="1">
      <c r="F2" s="40"/>
      <c r="G2" s="786">
        <f ca="1">TODAY()</f>
        <v>45922</v>
      </c>
      <c r="H2" s="786"/>
    </row>
    <row r="3" spans="1:8" s="32" customFormat="1" ht="12" customHeight="1">
      <c r="A3" s="19" t="s">
        <v>224</v>
      </c>
      <c r="B3" s="42"/>
      <c r="C3" s="42"/>
      <c r="G3" s="77"/>
    </row>
    <row r="4" spans="1:8" s="32" customFormat="1" ht="12" customHeight="1">
      <c r="A4" s="20" t="s">
        <v>225</v>
      </c>
      <c r="B4" s="42"/>
      <c r="C4" s="42"/>
    </row>
    <row r="5" spans="1:8" s="32" customFormat="1" ht="12" customHeight="1">
      <c r="A5" s="20" t="s">
        <v>226</v>
      </c>
      <c r="B5" s="42"/>
      <c r="C5" s="42"/>
    </row>
    <row r="6" spans="1:8" s="32" customFormat="1" ht="12" customHeight="1">
      <c r="A6" s="42" t="str">
        <f>_xlfn.CONCAT("Ration établie par : ",'   BA   '!C5:F5)</f>
        <v xml:space="preserve">Ration établie par : </v>
      </c>
      <c r="B6" s="42"/>
      <c r="C6" s="42"/>
    </row>
    <row r="7" spans="1:8" ht="5.25" customHeight="1"/>
    <row r="8" spans="1:8" ht="23.4">
      <c r="A8" s="783" t="str">
        <f>_xlfn.CONCAT("RATION : ",'   BA   '!C3:F3," - ",'   BA   '!C4:F4)</f>
        <v xml:space="preserve">RATION :  - </v>
      </c>
      <c r="B8" s="784"/>
      <c r="C8" s="784"/>
      <c r="D8" s="784"/>
      <c r="E8" s="784"/>
      <c r="F8" s="784"/>
      <c r="G8" s="784"/>
      <c r="H8" s="785"/>
    </row>
    <row r="10" spans="1:8" ht="12.9" customHeight="1">
      <c r="A10" s="21" t="s">
        <v>227</v>
      </c>
      <c r="B10" s="22"/>
      <c r="C10" s="23"/>
      <c r="D10" s="21" t="s">
        <v>160</v>
      </c>
      <c r="E10" s="22"/>
      <c r="F10" s="22"/>
      <c r="G10" s="22"/>
      <c r="H10" s="31"/>
    </row>
    <row r="11" spans="1:8" ht="12.9" customHeight="1">
      <c r="A11" s="23" t="s">
        <v>167</v>
      </c>
      <c r="B11" s="24">
        <f>'   BA   '!D9</f>
        <v>60</v>
      </c>
      <c r="C11" s="23"/>
      <c r="D11" s="23"/>
      <c r="E11" s="23"/>
      <c r="F11" s="23"/>
      <c r="G11" s="23"/>
      <c r="H11" s="32"/>
    </row>
    <row r="12" spans="1:8" ht="12.9" customHeight="1">
      <c r="A12" s="23" t="s">
        <v>417</v>
      </c>
      <c r="B12" s="25">
        <f>'   BA   '!D10</f>
        <v>2.5</v>
      </c>
      <c r="C12" s="23"/>
      <c r="D12" s="23"/>
      <c r="E12" s="23"/>
      <c r="F12" s="23"/>
      <c r="G12" s="23"/>
      <c r="H12" s="32"/>
    </row>
    <row r="13" spans="1:8" ht="12.9" customHeight="1">
      <c r="A13" s="23" t="s">
        <v>388</v>
      </c>
      <c r="B13" s="25" t="str">
        <f>'   BA   '!D11</f>
        <v>4 à 6</v>
      </c>
      <c r="C13" s="23"/>
      <c r="D13" s="23"/>
      <c r="E13" s="23"/>
      <c r="F13" s="23"/>
      <c r="G13" s="23"/>
      <c r="H13" s="32"/>
    </row>
    <row r="14" spans="1:8" ht="12.9" customHeight="1">
      <c r="A14" s="23" t="s">
        <v>418</v>
      </c>
      <c r="B14" s="28">
        <f>'   BA   '!D12</f>
        <v>250</v>
      </c>
      <c r="C14" s="23"/>
      <c r="D14" s="23"/>
      <c r="E14" s="23"/>
      <c r="F14" s="23"/>
      <c r="G14" s="23"/>
      <c r="H14" s="32"/>
    </row>
    <row r="15" spans="1:8" ht="12.9" customHeight="1">
      <c r="A15" s="23" t="s">
        <v>393</v>
      </c>
      <c r="B15" s="28">
        <f>'   BA   '!D13</f>
        <v>12</v>
      </c>
      <c r="C15" s="23"/>
      <c r="D15" s="23"/>
      <c r="E15" s="23"/>
      <c r="F15" s="23"/>
      <c r="G15" s="23"/>
      <c r="H15" s="32"/>
    </row>
    <row r="16" spans="1:8" ht="12.9" customHeight="1">
      <c r="C16" s="23"/>
      <c r="D16" s="23"/>
      <c r="E16" s="23"/>
      <c r="F16" s="23"/>
      <c r="G16" s="23"/>
      <c r="H16" s="32"/>
    </row>
    <row r="17" spans="1:8" ht="12.9" customHeight="1">
      <c r="A17" s="21" t="s">
        <v>232</v>
      </c>
      <c r="B17" s="26"/>
      <c r="C17" s="23"/>
      <c r="D17" s="23"/>
      <c r="E17" s="23"/>
      <c r="F17" s="23"/>
      <c r="G17" s="23"/>
      <c r="H17" s="32"/>
    </row>
    <row r="18" spans="1:8" ht="12.9" customHeight="1">
      <c r="A18" s="23" t="s">
        <v>233</v>
      </c>
      <c r="B18" s="278">
        <f>'   BA   '!U40</f>
        <v>0</v>
      </c>
      <c r="C18" s="23"/>
      <c r="D18" s="23"/>
      <c r="E18" s="23"/>
      <c r="F18" s="23"/>
      <c r="G18" s="23"/>
      <c r="H18" s="32"/>
    </row>
    <row r="19" spans="1:8" ht="12.9" customHeight="1">
      <c r="A19" s="23" t="s">
        <v>419</v>
      </c>
      <c r="B19" s="739" t="e">
        <f>'   BA   '!N4</f>
        <v>#VALUE!</v>
      </c>
      <c r="C19" s="23"/>
      <c r="D19" s="23"/>
      <c r="E19" s="23"/>
      <c r="F19" s="23"/>
      <c r="G19" s="23"/>
      <c r="H19" s="32"/>
    </row>
    <row r="20" spans="1:8" ht="12.9" customHeight="1">
      <c r="A20" s="23" t="s">
        <v>420</v>
      </c>
      <c r="B20" s="99">
        <f>'   BA   '!N3</f>
        <v>0</v>
      </c>
      <c r="C20" s="23"/>
      <c r="D20" s="23"/>
      <c r="E20" s="23"/>
      <c r="F20" s="23"/>
      <c r="G20" s="23"/>
      <c r="H20" s="32"/>
    </row>
    <row r="21" spans="1:8" ht="12.9" customHeight="1">
      <c r="A21" s="23" t="s">
        <v>281</v>
      </c>
      <c r="B21" s="28" t="e">
        <f>'   BA   '!N5</f>
        <v>#DIV/0!</v>
      </c>
      <c r="C21" s="23"/>
      <c r="D21" s="23"/>
      <c r="E21" s="23"/>
      <c r="F21" s="23"/>
      <c r="G21" s="23"/>
      <c r="H21" s="32"/>
    </row>
    <row r="22" spans="1:8" ht="12.9" customHeight="1">
      <c r="A22" s="23" t="s">
        <v>237</v>
      </c>
      <c r="B22" s="29" t="e">
        <f>'   BA   '!E40</f>
        <v>#DIV/0!</v>
      </c>
      <c r="C22" s="23"/>
      <c r="D22" s="23"/>
      <c r="E22" s="23"/>
      <c r="F22" s="23"/>
      <c r="G22" s="23"/>
      <c r="H22" s="32"/>
    </row>
    <row r="23" spans="1:8" ht="12.9" customHeight="1">
      <c r="A23" s="23"/>
      <c r="B23" s="23"/>
      <c r="C23" s="23"/>
      <c r="D23" s="23"/>
      <c r="E23" s="23"/>
      <c r="F23" s="23"/>
      <c r="G23" s="23"/>
      <c r="H23" s="32"/>
    </row>
    <row r="24" spans="1:8" ht="12.9" customHeight="1">
      <c r="A24" s="21" t="s">
        <v>186</v>
      </c>
      <c r="B24" s="22"/>
      <c r="C24" s="22"/>
      <c r="D24" s="22"/>
      <c r="E24" s="22"/>
      <c r="F24" s="22"/>
      <c r="G24" s="22"/>
      <c r="H24" s="31"/>
    </row>
    <row r="25" spans="1:8" ht="9" customHeight="1">
      <c r="A25" s="23"/>
      <c r="B25" s="23"/>
      <c r="C25" s="23"/>
      <c r="D25" s="23"/>
      <c r="E25" s="23"/>
      <c r="F25" s="23"/>
      <c r="G25" s="23"/>
    </row>
    <row r="26" spans="1:8" ht="17.399999999999999" customHeight="1">
      <c r="A26" s="72" t="s">
        <v>238</v>
      </c>
      <c r="B26" s="72" t="s">
        <v>188</v>
      </c>
      <c r="C26" s="72" t="s">
        <v>191</v>
      </c>
      <c r="D26" s="30"/>
      <c r="E26" s="23"/>
      <c r="F26" s="23"/>
      <c r="G26" s="23"/>
    </row>
    <row r="27" spans="1:8" ht="15" customHeight="1">
      <c r="A27" s="69" t="str">
        <f>IF(ISBLANK('   BA   '!B21),"",'   BA   '!B21)</f>
        <v/>
      </c>
      <c r="B27" s="70" t="str">
        <f>IF(ISBLANK('   BA   '!B21)," ",'   BA   '!D21)</f>
        <v xml:space="preserve"> </v>
      </c>
      <c r="C27" s="71" t="str">
        <f>'   BA   '!G21</f>
        <v xml:space="preserve"> </v>
      </c>
      <c r="D27" s="30"/>
      <c r="E27" s="38" t="s">
        <v>239</v>
      </c>
      <c r="F27" s="36">
        <f>SUM(B27:B41)</f>
        <v>0</v>
      </c>
      <c r="G27" s="34" t="s">
        <v>240</v>
      </c>
    </row>
    <row r="28" spans="1:8" ht="15" customHeight="1">
      <c r="A28" s="69" t="str">
        <f>IF(ISBLANK('   BA   '!B22),"",'   BA   '!B22)</f>
        <v/>
      </c>
      <c r="B28" s="70" t="str">
        <f>IF(ISBLANK('   BA   '!B22)," ",'   BA   '!D22)</f>
        <v xml:space="preserve"> </v>
      </c>
      <c r="C28" s="279" t="str">
        <f>'   BA   '!G22</f>
        <v xml:space="preserve"> </v>
      </c>
      <c r="D28" s="30"/>
      <c r="E28" s="39" t="s">
        <v>241</v>
      </c>
      <c r="F28" s="37">
        <f>SUM(C27:C41)</f>
        <v>0</v>
      </c>
      <c r="G28" s="35" t="s">
        <v>240</v>
      </c>
    </row>
    <row r="29" spans="1:8" ht="15" customHeight="1">
      <c r="A29" s="69" t="str">
        <f>IF(ISBLANK('   BA   '!B23),"",'   BA   '!B23)</f>
        <v/>
      </c>
      <c r="B29" s="70" t="str">
        <f>IF(ISBLANK('   BA   '!B23)," ",'   BA   '!D23)</f>
        <v xml:space="preserve"> </v>
      </c>
      <c r="C29" s="279" t="str">
        <f>'   BA   '!G23</f>
        <v xml:space="preserve"> </v>
      </c>
      <c r="D29" s="30"/>
      <c r="E29" s="23"/>
      <c r="F29" s="23"/>
      <c r="G29" s="23"/>
      <c r="H29" s="32"/>
    </row>
    <row r="30" spans="1:8" ht="15" customHeight="1">
      <c r="A30" s="69" t="str">
        <f>IF(ISBLANK('   BA   '!B24),"",'   BA   '!B24)</f>
        <v/>
      </c>
      <c r="B30" s="70" t="str">
        <f>IF(ISBLANK('   BA   '!B24)," ",'   BA   '!D24)</f>
        <v xml:space="preserve"> </v>
      </c>
      <c r="C30" s="279" t="str">
        <f>'   BA   '!G24</f>
        <v xml:space="preserve"> </v>
      </c>
      <c r="D30" s="30"/>
      <c r="E30" s="23"/>
      <c r="F30" s="23"/>
      <c r="G30" s="23"/>
      <c r="H30" s="32"/>
    </row>
    <row r="31" spans="1:8" ht="15" customHeight="1">
      <c r="A31" s="69" t="str">
        <f>IF(ISBLANK('   BA   '!B25),"",'   BA   '!B25)</f>
        <v/>
      </c>
      <c r="B31" s="70" t="str">
        <f>IF(ISBLANK('   BA   '!B25)," ",'   BA   '!D25)</f>
        <v xml:space="preserve"> </v>
      </c>
      <c r="C31" s="279" t="str">
        <f>'   BA   '!G25</f>
        <v xml:space="preserve"> </v>
      </c>
      <c r="D31" s="30"/>
      <c r="E31" s="280"/>
      <c r="F31" s="23"/>
      <c r="G31" s="23"/>
      <c r="H31" s="32"/>
    </row>
    <row r="32" spans="1:8" ht="15" customHeight="1">
      <c r="A32" s="69" t="str">
        <f>IF(ISBLANK('   BA   '!B26),"",'   BA   '!B26)</f>
        <v/>
      </c>
      <c r="B32" s="70" t="str">
        <f>IF(ISBLANK('   BA   '!B26)," ",'   BA   '!D26)</f>
        <v xml:space="preserve"> </v>
      </c>
      <c r="C32" s="279" t="str">
        <f>'   BA   '!G26</f>
        <v xml:space="preserve"> </v>
      </c>
      <c r="D32" s="30"/>
      <c r="E32" s="23"/>
      <c r="F32" s="740"/>
      <c r="G32" s="23"/>
      <c r="H32" s="32"/>
    </row>
    <row r="33" spans="1:8" ht="15" customHeight="1">
      <c r="A33" s="69" t="str">
        <f>IF(ISBLANK('   BA   '!B27),"",'   BA   '!B27)</f>
        <v/>
      </c>
      <c r="B33" s="70" t="str">
        <f>IF(ISBLANK('   BA   '!B27)," ",'   BA   '!D27)</f>
        <v xml:space="preserve"> </v>
      </c>
      <c r="C33" s="279" t="str">
        <f>'   BA   '!G27</f>
        <v xml:space="preserve"> </v>
      </c>
      <c r="D33" s="33"/>
      <c r="E33" s="23"/>
      <c r="F33" s="283"/>
      <c r="G33" s="23"/>
      <c r="H33" s="32"/>
    </row>
    <row r="34" spans="1:8" ht="15" customHeight="1">
      <c r="A34" s="69" t="str">
        <f>IF(ISBLANK('   BA   '!B28),"",'   BA   '!B28)</f>
        <v/>
      </c>
      <c r="B34" s="70" t="str">
        <f>IF(ISBLANK('   BA   '!B28)," ",'   BA   '!D28)</f>
        <v xml:space="preserve"> </v>
      </c>
      <c r="C34" s="279" t="str">
        <f>'   BA   '!G28</f>
        <v xml:space="preserve"> </v>
      </c>
      <c r="D34" s="33"/>
      <c r="E34" s="23"/>
      <c r="F34" s="283"/>
      <c r="G34" s="23"/>
      <c r="H34" s="32"/>
    </row>
    <row r="35" spans="1:8" ht="15" customHeight="1">
      <c r="A35" s="69" t="str">
        <f>IF(ISBLANK('   BA   '!B29),"",'   BA   '!B29)</f>
        <v/>
      </c>
      <c r="B35" s="70" t="str">
        <f>IF(ISBLANK('   BA   '!B29)," ",'   BA   '!D29)</f>
        <v xml:space="preserve"> </v>
      </c>
      <c r="C35" s="279" t="str">
        <f>'   BA   '!G29</f>
        <v xml:space="preserve"> </v>
      </c>
      <c r="D35" s="33"/>
      <c r="E35" s="32"/>
      <c r="F35" s="32"/>
      <c r="G35" s="32"/>
      <c r="H35" s="32"/>
    </row>
    <row r="36" spans="1:8" ht="15" customHeight="1">
      <c r="A36" s="69" t="str">
        <f>IF(ISBLANK('   BA   '!B30),"",'   BA   '!B30)</f>
        <v/>
      </c>
      <c r="B36" s="70" t="str">
        <f>IF(ISBLANK('   BA   '!B30)," ",'   BA   '!D30)</f>
        <v xml:space="preserve"> </v>
      </c>
      <c r="C36" s="279" t="str">
        <f>'   BA   '!G30</f>
        <v xml:space="preserve"> </v>
      </c>
      <c r="D36" s="33"/>
      <c r="E36" s="32"/>
      <c r="F36" s="32"/>
      <c r="G36" s="32"/>
      <c r="H36" s="32"/>
    </row>
    <row r="37" spans="1:8" ht="15" customHeight="1">
      <c r="A37" s="69" t="str">
        <f>IF(ISBLANK('   BA   '!B31),"",'   BA   '!B31)</f>
        <v/>
      </c>
      <c r="B37" s="70" t="str">
        <f>IF(ISBLANK('   BA   '!B31)," ",'   BA   '!D31)</f>
        <v xml:space="preserve"> </v>
      </c>
      <c r="C37" s="279" t="str">
        <f>'   BA   '!G31</f>
        <v xml:space="preserve"> </v>
      </c>
      <c r="D37" s="33"/>
      <c r="E37" s="284"/>
      <c r="F37" s="285"/>
      <c r="G37" s="286"/>
      <c r="H37" s="32"/>
    </row>
    <row r="38" spans="1:8" ht="15" customHeight="1">
      <c r="A38" s="69" t="str">
        <f>IF(ISBLANK('   BA   '!B32),"",'   BA   '!B32)</f>
        <v/>
      </c>
      <c r="B38" s="70" t="str">
        <f>IF(ISBLANK('   BA   '!B32)," ",'   BA   '!D32)</f>
        <v xml:space="preserve"> </v>
      </c>
      <c r="C38" s="279" t="str">
        <f>'   BA   '!G32</f>
        <v xml:space="preserve"> </v>
      </c>
      <c r="D38" s="33"/>
      <c r="E38" s="32"/>
      <c r="F38" s="32"/>
      <c r="G38" s="32"/>
      <c r="H38" s="32"/>
    </row>
    <row r="39" spans="1:8" ht="15" customHeight="1">
      <c r="A39" s="69" t="str">
        <f>IF(ISBLANK('   BA   '!B33),"",'   BA   '!B33)</f>
        <v/>
      </c>
      <c r="B39" s="70" t="str">
        <f>IF(ISBLANK('   BA   '!B33)," ",'   BA   '!D33)</f>
        <v xml:space="preserve"> </v>
      </c>
      <c r="C39" s="279" t="str">
        <f>'   BA   '!G33</f>
        <v xml:space="preserve"> </v>
      </c>
      <c r="D39" s="33"/>
      <c r="E39" s="32"/>
      <c r="F39" s="32"/>
      <c r="G39" s="32"/>
      <c r="H39" s="32"/>
    </row>
    <row r="40" spans="1:8" ht="15" customHeight="1">
      <c r="A40" s="69" t="str">
        <f>IF(ISBLANK('   BA   '!B34),"",'   BA   '!B34)</f>
        <v/>
      </c>
      <c r="B40" s="70" t="str">
        <f>IF(ISBLANK('   BA   '!B34)," ",'   BA   '!D34)</f>
        <v xml:space="preserve"> </v>
      </c>
      <c r="C40" s="279" t="str">
        <f>'   BA   '!G34</f>
        <v xml:space="preserve"> </v>
      </c>
      <c r="D40" s="33"/>
      <c r="E40" s="32"/>
      <c r="F40" s="32"/>
      <c r="G40" s="32"/>
      <c r="H40" s="32"/>
    </row>
    <row r="41" spans="1:8" ht="15" customHeight="1">
      <c r="A41" s="69" t="str">
        <f>IF(ISBLANK('   BA   '!B35),"",'   BA   '!B35)</f>
        <v/>
      </c>
      <c r="B41" s="70" t="str">
        <f>IF(ISBLANK('   BA   '!B35)," ",'   BA   '!D35)</f>
        <v xml:space="preserve"> </v>
      </c>
      <c r="C41" s="279" t="str">
        <f>'   BA   '!G35</f>
        <v xml:space="preserve"> </v>
      </c>
      <c r="D41" s="33"/>
      <c r="E41" s="32"/>
      <c r="F41" s="32"/>
      <c r="G41" s="32"/>
      <c r="H41" s="32"/>
    </row>
    <row r="42" spans="1:8" ht="15" customHeight="1">
      <c r="A42" s="69" t="str">
        <f>IF(ISBLANK('   BA   '!B36),"",'   BA   '!B36)</f>
        <v/>
      </c>
      <c r="B42" s="70" t="str">
        <f>IF(ISBLANK('   BA   '!B36)," ",'   BA   '!D36)</f>
        <v xml:space="preserve"> </v>
      </c>
      <c r="C42" s="279" t="str">
        <f>'   BA   '!G36</f>
        <v xml:space="preserve"> </v>
      </c>
      <c r="D42" s="32"/>
      <c r="E42" s="32"/>
      <c r="F42" s="32"/>
      <c r="G42" s="32"/>
      <c r="H42" s="32"/>
    </row>
    <row r="43" spans="1:8" ht="5.4" customHeight="1">
      <c r="B43" s="68"/>
      <c r="C43" s="6"/>
      <c r="D43" s="32"/>
      <c r="E43" s="32"/>
      <c r="F43" s="32"/>
      <c r="G43" s="32"/>
      <c r="H43" s="32"/>
    </row>
    <row r="44" spans="1:8" ht="12.9" customHeight="1">
      <c r="A44" s="78" t="s">
        <v>248</v>
      </c>
      <c r="B44" s="48"/>
      <c r="C44" s="48"/>
      <c r="D44" s="48"/>
      <c r="E44" s="48"/>
      <c r="F44" s="48"/>
      <c r="G44" s="48"/>
      <c r="H44" s="49"/>
    </row>
    <row r="45" spans="1:8" ht="4.2" customHeight="1">
      <c r="A45" s="50"/>
      <c r="H45" s="51"/>
    </row>
    <row r="46" spans="1:8" ht="12" customHeight="1">
      <c r="A46" s="52" t="s">
        <v>42</v>
      </c>
      <c r="B46" s="45"/>
      <c r="C46" s="32"/>
      <c r="D46" s="782" t="s">
        <v>54</v>
      </c>
      <c r="E46" s="782"/>
      <c r="F46" s="45" t="e">
        <f>'   BA   '!P41</f>
        <v>#DIV/0!</v>
      </c>
      <c r="G46" s="32" t="s">
        <v>249</v>
      </c>
      <c r="H46" s="51"/>
    </row>
    <row r="47" spans="1:8" ht="12" customHeight="1">
      <c r="A47" s="52" t="s">
        <v>44</v>
      </c>
      <c r="B47" s="45"/>
      <c r="C47" s="32" t="s">
        <v>249</v>
      </c>
      <c r="D47" s="782" t="s">
        <v>193</v>
      </c>
      <c r="E47" s="782"/>
      <c r="F47" s="45" t="e">
        <f>'   BA   '!Q41</f>
        <v>#DIV/0!</v>
      </c>
      <c r="G47" s="32" t="s">
        <v>249</v>
      </c>
      <c r="H47" s="51"/>
    </row>
    <row r="48" spans="1:8" ht="12" customHeight="1">
      <c r="A48" s="52" t="s">
        <v>45</v>
      </c>
      <c r="B48" s="45"/>
      <c r="C48" s="32" t="s">
        <v>249</v>
      </c>
      <c r="D48" s="782" t="s">
        <v>56</v>
      </c>
      <c r="E48" s="782"/>
      <c r="F48" s="45" t="e">
        <f>'   BA   '!R41</f>
        <v>#DIV/0!</v>
      </c>
      <c r="G48" s="32" t="s">
        <v>249</v>
      </c>
      <c r="H48" s="51"/>
    </row>
    <row r="49" spans="1:8" ht="12" customHeight="1">
      <c r="A49" s="52" t="s">
        <v>46</v>
      </c>
      <c r="B49" s="46" t="e">
        <f>'   BA   '!I41</f>
        <v>#DIV/0!</v>
      </c>
      <c r="C49" s="32"/>
      <c r="D49" s="782" t="s">
        <v>57</v>
      </c>
      <c r="E49" s="782"/>
      <c r="F49" s="45" t="e">
        <f>'   BA   '!S41</f>
        <v>#DIV/0!</v>
      </c>
      <c r="G49" s="32" t="s">
        <v>249</v>
      </c>
      <c r="H49" s="51"/>
    </row>
    <row r="50" spans="1:8" ht="12" customHeight="1">
      <c r="A50" s="52" t="s">
        <v>48</v>
      </c>
      <c r="B50" s="45" t="e">
        <f>'   BA   '!J41</f>
        <v>#DIV/0!</v>
      </c>
      <c r="C50" s="32" t="s">
        <v>249</v>
      </c>
      <c r="D50" s="782" t="s">
        <v>51</v>
      </c>
      <c r="E50" s="782"/>
      <c r="F50" s="47" t="e">
        <f>'   BA   '!M41</f>
        <v>#DIV/0!</v>
      </c>
      <c r="G50" s="32" t="s">
        <v>249</v>
      </c>
      <c r="H50" s="51"/>
    </row>
    <row r="51" spans="1:8" ht="12" customHeight="1">
      <c r="A51" s="52" t="s">
        <v>49</v>
      </c>
      <c r="B51" s="45" t="e">
        <f>'   BA   '!K41</f>
        <v>#DIV/0!</v>
      </c>
      <c r="C51" s="32" t="s">
        <v>249</v>
      </c>
      <c r="D51" s="782" t="s">
        <v>52</v>
      </c>
      <c r="E51" s="782"/>
      <c r="F51" s="47" t="e">
        <f>'   BA   '!N41</f>
        <v>#DIV/0!</v>
      </c>
      <c r="G51" s="32" t="s">
        <v>249</v>
      </c>
      <c r="H51" s="51"/>
    </row>
    <row r="52" spans="1:8" ht="12" customHeight="1">
      <c r="A52" s="52" t="s">
        <v>250</v>
      </c>
      <c r="B52" s="45" t="e">
        <f>'   BA   '!L41</f>
        <v>#DIV/0!</v>
      </c>
      <c r="C52" s="32" t="s">
        <v>249</v>
      </c>
      <c r="D52" s="782" t="s">
        <v>251</v>
      </c>
      <c r="E52" s="782"/>
      <c r="F52" s="45" t="e">
        <f>'   BA   '!T41</f>
        <v>#DIV/0!</v>
      </c>
      <c r="G52" s="32" t="s">
        <v>249</v>
      </c>
      <c r="H52" s="51"/>
    </row>
    <row r="53" spans="1:8" ht="12" customHeight="1">
      <c r="A53" s="53" t="s">
        <v>192</v>
      </c>
      <c r="B53" s="54" t="e">
        <f>'   BA   '!O41</f>
        <v>#DIV/0!</v>
      </c>
      <c r="C53" s="31" t="s">
        <v>249</v>
      </c>
      <c r="D53" s="31"/>
      <c r="E53" s="31"/>
      <c r="F53" s="31"/>
      <c r="G53" s="31"/>
      <c r="H53" s="55"/>
    </row>
    <row r="54" spans="1:8" ht="7.5" customHeight="1"/>
    <row r="55" spans="1:8" ht="15" customHeight="1">
      <c r="A55" s="79" t="s">
        <v>252</v>
      </c>
      <c r="B55" s="64"/>
      <c r="C55" s="64"/>
      <c r="D55" s="64"/>
      <c r="E55" s="64"/>
      <c r="F55" s="64"/>
      <c r="G55" s="64"/>
      <c r="H55" s="65"/>
    </row>
    <row r="56" spans="1:8" ht="12.9" customHeight="1">
      <c r="A56" s="288"/>
      <c r="H56" s="66"/>
    </row>
    <row r="57" spans="1:8" ht="12" customHeight="1">
      <c r="A57" s="50"/>
      <c r="H57" s="66"/>
    </row>
    <row r="58" spans="1:8" ht="12" customHeight="1">
      <c r="A58" s="50"/>
      <c r="H58" s="66"/>
    </row>
    <row r="59" spans="1:8" ht="15" customHeight="1">
      <c r="A59" s="67"/>
      <c r="B59" s="41"/>
      <c r="C59" s="41"/>
      <c r="D59" s="41"/>
      <c r="E59" s="41"/>
      <c r="F59" s="41"/>
      <c r="G59" s="41"/>
      <c r="H59" s="55"/>
    </row>
  </sheetData>
  <sheetProtection algorithmName="SHA-512" hashValue="tT8BYj5WrzfBbVIplgPq8fIsi5pVbPWwg9QAKTaUJs0FLXYeGo7i2fAVJX0xEcF2AdJSwih7U85pISuaGvHEtw==" saltValue="0E9uKSeBKG7jpyrydnft0A==" spinCount="100000" sheet="1" objects="1" scenarios="1" selectLockedCells="1" selectUnlockedCells="1"/>
  <mergeCells count="9">
    <mergeCell ref="D50:E50"/>
    <mergeCell ref="D51:E51"/>
    <mergeCell ref="D52:E52"/>
    <mergeCell ref="G2:H2"/>
    <mergeCell ref="A8:H8"/>
    <mergeCell ref="D46:E46"/>
    <mergeCell ref="D47:E47"/>
    <mergeCell ref="D48:E48"/>
    <mergeCell ref="D49:E49"/>
  </mergeCells>
  <pageMargins left="0.23622047244094491" right="0.23622047244094491" top="0.35433070866141736" bottom="0.35433070866141736" header="0.31496062992125984" footer="0.31496062992125984"/>
  <pageSetup paperSize="9" orientation="portrait" horizontalDpi="300" verticalDpi="3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22DFA-FA3D-4E8F-8743-4912063B1743}">
  <sheetPr>
    <tabColor theme="8" tint="0.39997558519241921"/>
  </sheetPr>
  <dimension ref="A1:AR168"/>
  <sheetViews>
    <sheetView showGridLines="0" zoomScaleNormal="100" workbookViewId="0">
      <selection activeCell="H14" sqref="H14"/>
    </sheetView>
  </sheetViews>
  <sheetFormatPr baseColWidth="10" defaultColWidth="11.44140625" defaultRowHeight="13.8"/>
  <cols>
    <col min="1" max="1" width="4.6640625" style="109" customWidth="1"/>
    <col min="2" max="2" width="31.6640625" style="109" customWidth="1"/>
    <col min="3" max="3" width="5.6640625" style="109" customWidth="1"/>
    <col min="4" max="4" width="8.44140625" style="109" bestFit="1" customWidth="1"/>
    <col min="5" max="5" width="8.6640625" style="109" customWidth="1"/>
    <col min="6" max="6" width="10.109375" style="109" customWidth="1"/>
    <col min="7" max="20" width="8.6640625" style="109" customWidth="1"/>
    <col min="21" max="21" width="11.109375" style="109" customWidth="1"/>
    <col min="22" max="25" width="8.6640625" style="109" customWidth="1"/>
    <col min="26" max="30" width="11.44140625" style="109"/>
    <col min="31" max="31" width="15" style="109" bestFit="1" customWidth="1"/>
    <col min="32" max="32" width="12.6640625" style="109" customWidth="1"/>
    <col min="33" max="33" width="13" style="109" bestFit="1" customWidth="1"/>
    <col min="34" max="34" width="15.6640625" style="109" bestFit="1" customWidth="1"/>
    <col min="35" max="16384" width="11.44140625" style="109"/>
  </cols>
  <sheetData>
    <row r="1" spans="1:43" ht="25.5" customHeight="1">
      <c r="B1" s="775" t="s">
        <v>421</v>
      </c>
      <c r="C1" s="775"/>
      <c r="D1" s="775"/>
      <c r="E1" s="775"/>
      <c r="F1" s="775"/>
      <c r="G1" s="775"/>
      <c r="H1" s="775"/>
      <c r="I1" s="775"/>
      <c r="J1" s="775"/>
      <c r="K1" s="775"/>
      <c r="L1" s="775"/>
      <c r="M1" s="775"/>
      <c r="N1" s="775"/>
      <c r="O1" s="775"/>
      <c r="P1" s="775"/>
      <c r="Q1" s="775"/>
      <c r="R1" s="775"/>
      <c r="S1" s="775"/>
      <c r="T1" s="775"/>
      <c r="U1" s="775"/>
      <c r="V1" s="775"/>
      <c r="W1" s="775"/>
      <c r="X1" s="775"/>
      <c r="Y1" s="775"/>
    </row>
    <row r="2" spans="1:43" ht="14.4" thickBot="1"/>
    <row r="3" spans="1:43" ht="15.6">
      <c r="B3" s="612" t="s">
        <v>158</v>
      </c>
      <c r="C3" s="777"/>
      <c r="D3" s="777"/>
      <c r="E3" s="777"/>
      <c r="F3" s="777"/>
      <c r="G3" s="778"/>
      <c r="R3" s="83" t="s">
        <v>159</v>
      </c>
      <c r="S3" s="789" t="s">
        <v>260</v>
      </c>
      <c r="T3" s="789"/>
      <c r="U3" s="789"/>
      <c r="V3" s="789"/>
      <c r="W3" s="789"/>
      <c r="X3" s="789"/>
      <c r="Y3" s="789"/>
    </row>
    <row r="4" spans="1:43" ht="15.6">
      <c r="B4" s="613" t="s">
        <v>161</v>
      </c>
      <c r="C4" s="779"/>
      <c r="D4" s="779"/>
      <c r="E4" s="779"/>
      <c r="F4" s="779"/>
      <c r="G4" s="779"/>
      <c r="R4" s="647" t="e">
        <f>G36/H10</f>
        <v>#DIV/0!</v>
      </c>
    </row>
    <row r="5" spans="1:43" ht="16.2" thickBot="1">
      <c r="B5" s="614" t="s">
        <v>163</v>
      </c>
      <c r="C5" s="780"/>
      <c r="D5" s="780"/>
      <c r="E5" s="780"/>
      <c r="F5" s="780"/>
      <c r="G5" s="781"/>
    </row>
    <row r="6" spans="1:43" ht="9.75" customHeight="1"/>
    <row r="7" spans="1:43" ht="15.6">
      <c r="B7" s="110" t="s">
        <v>286</v>
      </c>
    </row>
    <row r="8" spans="1:43" ht="6" customHeight="1" thickBot="1"/>
    <row r="9" spans="1:43" ht="13.95" customHeight="1">
      <c r="B9" s="801" t="s">
        <v>422</v>
      </c>
      <c r="C9" s="802"/>
      <c r="D9" s="803"/>
      <c r="F9" s="615" t="s">
        <v>286</v>
      </c>
      <c r="G9" s="615"/>
      <c r="H9" s="616" t="s">
        <v>169</v>
      </c>
      <c r="I9" s="617" t="s">
        <v>42</v>
      </c>
      <c r="J9" s="617" t="s">
        <v>43</v>
      </c>
      <c r="K9" s="617" t="s">
        <v>170</v>
      </c>
      <c r="L9" s="617" t="s">
        <v>171</v>
      </c>
      <c r="M9" s="617" t="s">
        <v>172</v>
      </c>
      <c r="N9" s="617" t="s">
        <v>173</v>
      </c>
      <c r="O9" s="617" t="s">
        <v>46</v>
      </c>
      <c r="P9" s="617" t="s">
        <v>47</v>
      </c>
      <c r="Q9" s="617" t="s">
        <v>48</v>
      </c>
      <c r="R9" s="618" t="s">
        <v>49</v>
      </c>
    </row>
    <row r="10" spans="1:43">
      <c r="A10" s="619"/>
      <c r="B10" s="804"/>
      <c r="C10" s="805"/>
      <c r="D10" s="806"/>
      <c r="F10" s="620" t="s">
        <v>181</v>
      </c>
      <c r="G10" s="621"/>
      <c r="H10" s="622"/>
      <c r="I10" s="623"/>
      <c r="J10" s="624"/>
      <c r="K10" s="624"/>
      <c r="L10" s="623"/>
      <c r="M10" s="623"/>
      <c r="N10" s="623"/>
      <c r="O10" s="623"/>
      <c r="P10" s="623"/>
      <c r="Q10" s="624"/>
      <c r="R10" s="625"/>
    </row>
    <row r="11" spans="1:43" ht="14.4">
      <c r="A11" s="626"/>
      <c r="B11" s="795" t="s">
        <v>31</v>
      </c>
      <c r="C11" s="796"/>
      <c r="D11" s="797"/>
      <c r="F11" s="627" t="s">
        <v>184</v>
      </c>
      <c r="G11" s="628"/>
      <c r="H11" s="629">
        <v>1</v>
      </c>
      <c r="I11" s="630" t="e">
        <f>I10/$H$10</f>
        <v>#DIV/0!</v>
      </c>
      <c r="J11" s="630" t="e">
        <f>J10/$H$10</f>
        <v>#DIV/0!</v>
      </c>
      <c r="K11" s="630" t="e">
        <f t="shared" ref="K11:R11" si="0">K10/$H$10</f>
        <v>#DIV/0!</v>
      </c>
      <c r="L11" s="630" t="e">
        <f>L10/$H$10</f>
        <v>#DIV/0!</v>
      </c>
      <c r="M11" s="631" t="e">
        <f>M10/$H$10</f>
        <v>#DIV/0!</v>
      </c>
      <c r="N11" s="631" t="e">
        <f>N10/$H$10</f>
        <v>#DIV/0!</v>
      </c>
      <c r="O11" s="632" t="e">
        <f>O10/$H$10</f>
        <v>#DIV/0!</v>
      </c>
      <c r="P11" s="632" t="e">
        <f t="shared" si="0"/>
        <v>#DIV/0!</v>
      </c>
      <c r="Q11" s="630" t="e">
        <f t="shared" si="0"/>
        <v>#DIV/0!</v>
      </c>
      <c r="R11" s="633" t="e">
        <f t="shared" si="0"/>
        <v>#DIV/0!</v>
      </c>
    </row>
    <row r="12" spans="1:43" ht="15" thickBot="1">
      <c r="A12" s="626"/>
      <c r="B12" s="798" t="s">
        <v>32</v>
      </c>
      <c r="C12" s="799"/>
      <c r="D12" s="800"/>
    </row>
    <row r="13" spans="1:43" ht="14.4">
      <c r="A13" s="424"/>
      <c r="Y13" s="125"/>
    </row>
    <row r="14" spans="1:43" ht="15.6">
      <c r="B14" s="110" t="s">
        <v>186</v>
      </c>
      <c r="C14" s="1"/>
      <c r="F14" s="1"/>
      <c r="G14" s="1"/>
      <c r="H14" s="1"/>
      <c r="I14" s="1"/>
      <c r="J14" s="1"/>
      <c r="K14" s="1"/>
      <c r="L14" s="1"/>
      <c r="M14" s="1"/>
      <c r="N14" s="1"/>
      <c r="O14" s="1"/>
      <c r="P14" s="1"/>
      <c r="Q14" s="1"/>
      <c r="R14" s="1"/>
      <c r="S14" s="1"/>
      <c r="T14" s="1"/>
      <c r="U14" s="1"/>
      <c r="V14" s="1"/>
      <c r="W14" s="1"/>
      <c r="X14" s="1"/>
    </row>
    <row r="15" spans="1:43" ht="6.75" customHeight="1" thickBot="1">
      <c r="C15" s="1"/>
      <c r="F15" s="1" t="s">
        <v>423</v>
      </c>
      <c r="G15" s="1"/>
      <c r="H15" s="1"/>
      <c r="I15" s="1"/>
      <c r="J15" s="1"/>
      <c r="K15" s="1"/>
      <c r="L15" s="1"/>
      <c r="M15" s="1"/>
      <c r="N15" s="1"/>
      <c r="O15" s="1"/>
      <c r="P15" s="1"/>
      <c r="Q15" s="1"/>
      <c r="R15" s="1"/>
      <c r="S15" s="1"/>
      <c r="T15" s="1"/>
      <c r="U15" s="1"/>
      <c r="V15" s="1"/>
      <c r="W15" s="1"/>
      <c r="X15" s="1"/>
    </row>
    <row r="16" spans="1:43" s="132" customFormat="1" ht="31.5" customHeight="1">
      <c r="A16" s="130"/>
      <c r="B16" s="634" t="s">
        <v>40</v>
      </c>
      <c r="C16" s="85" t="s">
        <v>187</v>
      </c>
      <c r="D16" s="635" t="s">
        <v>188</v>
      </c>
      <c r="E16" s="635" t="s">
        <v>189</v>
      </c>
      <c r="F16" s="85" t="s">
        <v>190</v>
      </c>
      <c r="G16" s="85" t="s">
        <v>191</v>
      </c>
      <c r="H16" s="85" t="s">
        <v>42</v>
      </c>
      <c r="I16" s="85" t="s">
        <v>43</v>
      </c>
      <c r="J16" s="85" t="s">
        <v>44</v>
      </c>
      <c r="K16" s="85" t="s">
        <v>45</v>
      </c>
      <c r="L16" s="85" t="s">
        <v>46</v>
      </c>
      <c r="M16" s="85" t="s">
        <v>47</v>
      </c>
      <c r="N16" s="85" t="s">
        <v>48</v>
      </c>
      <c r="O16" s="85" t="s">
        <v>49</v>
      </c>
      <c r="P16" s="85" t="s">
        <v>50</v>
      </c>
      <c r="Q16" s="85" t="s">
        <v>51</v>
      </c>
      <c r="R16" s="85" t="s">
        <v>52</v>
      </c>
      <c r="S16" s="85" t="s">
        <v>192</v>
      </c>
      <c r="T16" s="85" t="s">
        <v>54</v>
      </c>
      <c r="U16" s="85" t="s">
        <v>193</v>
      </c>
      <c r="V16" s="85" t="s">
        <v>56</v>
      </c>
      <c r="W16" s="85" t="s">
        <v>57</v>
      </c>
      <c r="X16" s="85" t="s">
        <v>59</v>
      </c>
      <c r="Y16" s="636" t="s">
        <v>194</v>
      </c>
      <c r="AF16" s="637" t="s">
        <v>231</v>
      </c>
      <c r="AG16" s="637" t="s">
        <v>187</v>
      </c>
      <c r="AH16" s="109"/>
      <c r="AJ16" s="109"/>
      <c r="AK16" s="109"/>
      <c r="AL16" s="109"/>
      <c r="AM16" s="109"/>
      <c r="AN16" s="109"/>
      <c r="AO16" s="109"/>
      <c r="AP16" s="109"/>
      <c r="AQ16" s="109"/>
    </row>
    <row r="17" spans="1:42">
      <c r="A17" s="291"/>
      <c r="B17" s="134"/>
      <c r="C17" s="646" t="str">
        <f>IF(ISBLANK(B17),"",INDEX('Liste des aliments'!$B$6:$B$966,MATCH(B17,'Liste des aliments'!$C$6:$C$966,0)))</f>
        <v/>
      </c>
      <c r="D17" s="135"/>
      <c r="E17" s="136"/>
      <c r="F17" s="7" t="str">
        <f>IF(ISBLANK($B17)," ",VLOOKUP($B17,'Liste des aliments'!$C$6:$W$966,2,FALSE))</f>
        <v xml:space="preserve"> </v>
      </c>
      <c r="G17" s="8" t="str">
        <f>IF(ISBLANK(B17)," ",(D17*E17/100))</f>
        <v xml:space="preserve"> </v>
      </c>
      <c r="H17" s="9" t="str">
        <f>IF(ISBLANK($B17)," ",VLOOKUP($B17,'Liste des aliments'!$C$6:$W$966,3,FALSE))</f>
        <v xml:space="preserve"> </v>
      </c>
      <c r="I17" s="9" t="str">
        <f>IF(ISBLANK($B17)," ",VLOOKUP($B17,'Liste des aliments'!$C$6:$W$966,4,FALSE))</f>
        <v xml:space="preserve"> </v>
      </c>
      <c r="J17" s="9" t="str">
        <f>IF(ISBLANK($B17)," ",VLOOKUP($B17,'Liste des aliments'!$C$6:$W$966,5,FALSE))</f>
        <v xml:space="preserve"> </v>
      </c>
      <c r="K17" s="9" t="str">
        <f>IF(ISBLANK($B17)," ",VLOOKUP($B17,'Liste des aliments'!$C$6:$W$966,6,FALSE))</f>
        <v xml:space="preserve"> </v>
      </c>
      <c r="L17" s="8" t="str">
        <f>IF(ISBLANK($B17)," ",VLOOKUP($B17,'Liste des aliments'!$C$6:$W$966,7,FALSE))</f>
        <v xml:space="preserve"> </v>
      </c>
      <c r="M17" s="8" t="str">
        <f>IF(ISBLANK($B17)," ",VLOOKUP($B17,'Liste des aliments'!$C$6:$W$966,8,FALSE))</f>
        <v xml:space="preserve"> </v>
      </c>
      <c r="N17" s="9" t="str">
        <f>IF(ISBLANK($B17)," ",VLOOKUP($B17,'Liste des aliments'!$C$6:$W$966,9,FALSE))</f>
        <v xml:space="preserve"> </v>
      </c>
      <c r="O17" s="9" t="str">
        <f>IF(ISBLANK($B17)," ",VLOOKUP($B17,'Liste des aliments'!$C$6:$W$966,10,FALSE))</f>
        <v xml:space="preserve"> </v>
      </c>
      <c r="P17" s="9" t="str">
        <f>IF(ISBLANK($B17)," ",VLOOKUP($B17,'Liste des aliments'!$C$6:$W$966,11,FALSE))</f>
        <v xml:space="preserve"> </v>
      </c>
      <c r="Q17" s="7" t="str">
        <f>IF(ISBLANK($B17)," ",VLOOKUP($B17,'Liste des aliments'!$C$6:$W$966,12,FALSE))</f>
        <v xml:space="preserve"> </v>
      </c>
      <c r="R17" s="7" t="str">
        <f>IF(ISBLANK($B17)," ",VLOOKUP($B17,'Liste des aliments'!$C$6:$W$966,13,FALSE))</f>
        <v xml:space="preserve"> </v>
      </c>
      <c r="S17" s="9" t="str">
        <f>IF(ISBLANK($B17)," ",VLOOKUP($B17,'Liste des aliments'!$C$6:$W$966,14,FALSE))</f>
        <v xml:space="preserve"> </v>
      </c>
      <c r="T17" s="9" t="str">
        <f>IF(ISBLANK($B17)," ",VLOOKUP($B17,'Liste des aliments'!$C$6:$W$966,15,FALSE))</f>
        <v xml:space="preserve"> </v>
      </c>
      <c r="U17" s="9" t="str">
        <f>IF(ISBLANK($B17)," ",VLOOKUP($B17,'Liste des aliments'!$C$6:$W$966,16,FALSE))</f>
        <v xml:space="preserve"> </v>
      </c>
      <c r="V17" s="9" t="str">
        <f>IF(ISBLANK($B17)," ",VLOOKUP($B17,'Liste des aliments'!$C$6:$W$966,17,FALSE))</f>
        <v xml:space="preserve"> </v>
      </c>
      <c r="W17" s="9" t="str">
        <f>IF(ISBLANK($B17)," ",VLOOKUP($B17,'Liste des aliments'!$C$6:$W$966,18,FALSE))</f>
        <v xml:space="preserve"> </v>
      </c>
      <c r="X17" s="9" t="str">
        <f>IF(ISBLANK($B17)," ",VLOOKUP($B17,'Liste des aliments'!$C$6:$W$966,20,FALSE))</f>
        <v xml:space="preserve"> </v>
      </c>
      <c r="Y17" s="638"/>
      <c r="AF17" s="639" t="s">
        <v>290</v>
      </c>
      <c r="AG17" s="147" t="s">
        <v>291</v>
      </c>
    </row>
    <row r="18" spans="1:42">
      <c r="A18" s="291"/>
      <c r="B18" s="137"/>
      <c r="C18" s="89" t="str">
        <f>IF(ISBLANK(B18),"",INDEX('Liste des aliments'!$B$6:$B$966,MATCH(B18,'Liste des aliments'!$C$6:$C$966,0)))</f>
        <v/>
      </c>
      <c r="D18" s="138"/>
      <c r="E18" s="139"/>
      <c r="F18" s="13" t="str">
        <f>IF(ISBLANK($B18)," ",VLOOKUP($B18,'Liste des aliments'!$C$6:$W$966,2,FALSE))</f>
        <v xml:space="preserve"> </v>
      </c>
      <c r="G18" s="14" t="str">
        <f>IF(ISBLANK(B18)," ",(D18*E18/100))</f>
        <v xml:space="preserve"> </v>
      </c>
      <c r="H18" s="12" t="str">
        <f>IF(ISBLANK($B18)," ",VLOOKUP($B18,'Liste des aliments'!$C$6:$W$966,3,FALSE))</f>
        <v xml:space="preserve"> </v>
      </c>
      <c r="I18" s="12" t="str">
        <f>IF(ISBLANK($B18)," ",VLOOKUP($B18,'Liste des aliments'!$C$6:$W$966,4,FALSE))</f>
        <v xml:space="preserve"> </v>
      </c>
      <c r="J18" s="12" t="str">
        <f>IF(ISBLANK($B18)," ",VLOOKUP($B18,'Liste des aliments'!$C$6:$W$966,5,FALSE))</f>
        <v xml:space="preserve"> </v>
      </c>
      <c r="K18" s="12" t="str">
        <f>IF(ISBLANK($B18)," ",VLOOKUP($B18,'Liste des aliments'!$C$6:$W$966,6,FALSE))</f>
        <v xml:space="preserve"> </v>
      </c>
      <c r="L18" s="14" t="str">
        <f>IF(ISBLANK($B18)," ",VLOOKUP($B18,'Liste des aliments'!$C$6:$W$966,7,FALSE))</f>
        <v xml:space="preserve"> </v>
      </c>
      <c r="M18" s="14" t="str">
        <f>IF(ISBLANK($B18)," ",VLOOKUP($B18,'Liste des aliments'!$C$6:$W$966,8,FALSE))</f>
        <v xml:space="preserve"> </v>
      </c>
      <c r="N18" s="12" t="str">
        <f>IF(ISBLANK($B18)," ",VLOOKUP($B18,'Liste des aliments'!$C$6:$W$966,9,FALSE))</f>
        <v xml:space="preserve"> </v>
      </c>
      <c r="O18" s="12" t="str">
        <f>IF(ISBLANK($B18)," ",VLOOKUP($B18,'Liste des aliments'!$C$6:$W$966,10,FALSE))</f>
        <v xml:space="preserve"> </v>
      </c>
      <c r="P18" s="12" t="str">
        <f>IF(ISBLANK($B18)," ",VLOOKUP($B18,'Liste des aliments'!$C$6:$W$966,11,FALSE))</f>
        <v xml:space="preserve"> </v>
      </c>
      <c r="Q18" s="13" t="str">
        <f>IF(ISBLANK($B18)," ",VLOOKUP($B18,'Liste des aliments'!$C$6:$W$966,12,FALSE))</f>
        <v xml:space="preserve"> </v>
      </c>
      <c r="R18" s="13" t="str">
        <f>IF(ISBLANK($B18)," ",VLOOKUP($B18,'Liste des aliments'!$C$6:$W$966,13,FALSE))</f>
        <v xml:space="preserve"> </v>
      </c>
      <c r="S18" s="12" t="str">
        <f>IF(ISBLANK($B18)," ",VLOOKUP($B18,'Liste des aliments'!$C$6:$W$966,14,FALSE))</f>
        <v xml:space="preserve"> </v>
      </c>
      <c r="T18" s="12" t="str">
        <f>IF(ISBLANK($B18)," ",VLOOKUP($B18,'Liste des aliments'!$C$6:$W$966,15,FALSE))</f>
        <v xml:space="preserve"> </v>
      </c>
      <c r="U18" s="12" t="str">
        <f>IF(ISBLANK($B18)," ",VLOOKUP($B18,'Liste des aliments'!$C$6:$W$966,16,FALSE))</f>
        <v xml:space="preserve"> </v>
      </c>
      <c r="V18" s="12" t="str">
        <f>IF(ISBLANK($B18)," ",VLOOKUP($B18,'Liste des aliments'!$C$6:$W$966,17,FALSE))</f>
        <v xml:space="preserve"> </v>
      </c>
      <c r="W18" s="12" t="str">
        <f>IF(ISBLANK($B18)," ",VLOOKUP($B18,'Liste des aliments'!$C$6:$W$966,18,FALSE))</f>
        <v xml:space="preserve"> </v>
      </c>
      <c r="X18" s="12" t="str">
        <f>IF(ISBLANK($B18)," ",VLOOKUP($B18,'Liste des aliments'!$C$6:$W$966,20,FALSE))</f>
        <v xml:space="preserve"> </v>
      </c>
      <c r="Y18" s="107"/>
      <c r="AF18" s="639" t="s">
        <v>292</v>
      </c>
      <c r="AG18" s="147" t="s">
        <v>296</v>
      </c>
    </row>
    <row r="19" spans="1:42">
      <c r="A19" s="291"/>
      <c r="B19" s="137"/>
      <c r="C19" s="89" t="str">
        <f>IF(ISBLANK(B19),"",INDEX('Liste des aliments'!$B$6:$B$966,MATCH(B19,'Liste des aliments'!$C$6:$C$966,0)))</f>
        <v/>
      </c>
      <c r="D19" s="138"/>
      <c r="E19" s="139"/>
      <c r="F19" s="13" t="str">
        <f>IF(ISBLANK($B19)," ",VLOOKUP($B19,'Liste des aliments'!$C$6:$W$966,2,FALSE))</f>
        <v xml:space="preserve"> </v>
      </c>
      <c r="G19" s="14" t="str">
        <f>IF(ISBLANK(B19)," ",(D19*E19/100))</f>
        <v xml:space="preserve"> </v>
      </c>
      <c r="H19" s="12" t="str">
        <f>IF(ISBLANK($B19)," ",VLOOKUP($B19,'Liste des aliments'!$C$6:$W$966,3,FALSE))</f>
        <v xml:space="preserve"> </v>
      </c>
      <c r="I19" s="12" t="str">
        <f>IF(ISBLANK($B19)," ",VLOOKUP($B19,'Liste des aliments'!$C$6:$W$966,4,FALSE))</f>
        <v xml:space="preserve"> </v>
      </c>
      <c r="J19" s="12" t="str">
        <f>IF(ISBLANK($B19)," ",VLOOKUP($B19,'Liste des aliments'!$C$6:$W$966,5,FALSE))</f>
        <v xml:space="preserve"> </v>
      </c>
      <c r="K19" s="12" t="str">
        <f>IF(ISBLANK($B19)," ",VLOOKUP($B19,'Liste des aliments'!$C$6:$W$966,6,FALSE))</f>
        <v xml:space="preserve"> </v>
      </c>
      <c r="L19" s="14" t="str">
        <f>IF(ISBLANK($B19)," ",VLOOKUP($B19,'Liste des aliments'!$C$6:$W$966,7,FALSE))</f>
        <v xml:space="preserve"> </v>
      </c>
      <c r="M19" s="14" t="str">
        <f>IF(ISBLANK($B19)," ",VLOOKUP($B19,'Liste des aliments'!$C$6:$W$966,8,FALSE))</f>
        <v xml:space="preserve"> </v>
      </c>
      <c r="N19" s="12" t="str">
        <f>IF(ISBLANK($B19)," ",VLOOKUP($B19,'Liste des aliments'!$C$6:$W$966,9,FALSE))</f>
        <v xml:space="preserve"> </v>
      </c>
      <c r="O19" s="12" t="str">
        <f>IF(ISBLANK($B19)," ",VLOOKUP($B19,'Liste des aliments'!$C$6:$W$966,10,FALSE))</f>
        <v xml:space="preserve"> </v>
      </c>
      <c r="P19" s="12" t="str">
        <f>IF(ISBLANK($B19)," ",VLOOKUP($B19,'Liste des aliments'!$C$6:$W$966,11,FALSE))</f>
        <v xml:space="preserve"> </v>
      </c>
      <c r="Q19" s="13" t="str">
        <f>IF(ISBLANK($B19)," ",VLOOKUP($B19,'Liste des aliments'!$C$6:$W$966,12,FALSE))</f>
        <v xml:space="preserve"> </v>
      </c>
      <c r="R19" s="13" t="str">
        <f>IF(ISBLANK($B19)," ",VLOOKUP($B19,'Liste des aliments'!$C$6:$W$966,13,FALSE))</f>
        <v xml:space="preserve"> </v>
      </c>
      <c r="S19" s="12" t="str">
        <f>IF(ISBLANK($B19)," ",VLOOKUP($B19,'Liste des aliments'!$C$6:$W$966,14,FALSE))</f>
        <v xml:space="preserve"> </v>
      </c>
      <c r="T19" s="12" t="str">
        <f>IF(ISBLANK($B19)," ",VLOOKUP($B19,'Liste des aliments'!$C$6:$W$966,15,FALSE))</f>
        <v xml:space="preserve"> </v>
      </c>
      <c r="U19" s="12" t="str">
        <f>IF(ISBLANK($B19)," ",VLOOKUP($B19,'Liste des aliments'!$C$6:$W$966,16,FALSE))</f>
        <v xml:space="preserve"> </v>
      </c>
      <c r="V19" s="12" t="str">
        <f>IF(ISBLANK($B19)," ",VLOOKUP($B19,'Liste des aliments'!$C$6:$W$966,17,FALSE))</f>
        <v xml:space="preserve"> </v>
      </c>
      <c r="W19" s="12" t="str">
        <f>IF(ISBLANK($B19)," ",VLOOKUP($B19,'Liste des aliments'!$C$6:$W$966,18,FALSE))</f>
        <v xml:space="preserve"> </v>
      </c>
      <c r="X19" s="12" t="str">
        <f>IF(ISBLANK($B19)," ",VLOOKUP($B19,'Liste des aliments'!$C$6:$W$966,20,FALSE))</f>
        <v xml:space="preserve"> </v>
      </c>
      <c r="Y19" s="107"/>
      <c r="AF19" s="639" t="s">
        <v>285</v>
      </c>
      <c r="AG19" s="147" t="s">
        <v>293</v>
      </c>
      <c r="AI19" s="640" t="s">
        <v>187</v>
      </c>
      <c r="AJ19" s="640" t="s">
        <v>38</v>
      </c>
    </row>
    <row r="20" spans="1:42" ht="15.6">
      <c r="A20" s="291"/>
      <c r="B20" s="137"/>
      <c r="C20" s="89" t="str">
        <f>IF(ISBLANK(B20),"",INDEX('Liste des aliments'!$B$6:$B$966,MATCH(B20,'Liste des aliments'!$C$6:$C$966,0)))</f>
        <v/>
      </c>
      <c r="D20" s="138"/>
      <c r="E20" s="139"/>
      <c r="F20" s="13" t="str">
        <f>IF(ISBLANK($B20)," ",VLOOKUP($B20,'Liste des aliments'!$C$6:$W$966,2,FALSE))</f>
        <v xml:space="preserve"> </v>
      </c>
      <c r="G20" s="14" t="str">
        <f>IF(ISBLANK(B20)," ",(D20*E20/100))</f>
        <v xml:space="preserve"> </v>
      </c>
      <c r="H20" s="12" t="str">
        <f>IF(ISBLANK($B20)," ",VLOOKUP($B20,'Liste des aliments'!$C$6:$W$966,3,FALSE))</f>
        <v xml:space="preserve"> </v>
      </c>
      <c r="I20" s="12" t="str">
        <f>IF(ISBLANK($B20)," ",VLOOKUP($B20,'Liste des aliments'!$C$6:$W$966,4,FALSE))</f>
        <v xml:space="preserve"> </v>
      </c>
      <c r="J20" s="12" t="str">
        <f>IF(ISBLANK($B20)," ",VLOOKUP($B20,'Liste des aliments'!$C$6:$W$966,5,FALSE))</f>
        <v xml:space="preserve"> </v>
      </c>
      <c r="K20" s="12" t="str">
        <f>IF(ISBLANK($B20)," ",VLOOKUP($B20,'Liste des aliments'!$C$6:$W$966,6,FALSE))</f>
        <v xml:space="preserve"> </v>
      </c>
      <c r="L20" s="14" t="str">
        <f>IF(ISBLANK($B20)," ",VLOOKUP($B20,'Liste des aliments'!$C$6:$W$966,7,FALSE))</f>
        <v xml:space="preserve"> </v>
      </c>
      <c r="M20" s="14" t="str">
        <f>IF(ISBLANK($B20)," ",VLOOKUP($B20,'Liste des aliments'!$C$6:$W$966,8,FALSE))</f>
        <v xml:space="preserve"> </v>
      </c>
      <c r="N20" s="12" t="str">
        <f>IF(ISBLANK($B20)," ",VLOOKUP($B20,'Liste des aliments'!$C$6:$W$966,9,FALSE))</f>
        <v xml:space="preserve"> </v>
      </c>
      <c r="O20" s="12" t="str">
        <f>IF(ISBLANK($B20)," ",VLOOKUP($B20,'Liste des aliments'!$C$6:$W$966,10,FALSE))</f>
        <v xml:space="preserve"> </v>
      </c>
      <c r="P20" s="12" t="str">
        <f>IF(ISBLANK($B20)," ",VLOOKUP($B20,'Liste des aliments'!$C$6:$W$966,11,FALSE))</f>
        <v xml:space="preserve"> </v>
      </c>
      <c r="Q20" s="13" t="str">
        <f>IF(ISBLANK($B20)," ",VLOOKUP($B20,'Liste des aliments'!$C$6:$W$966,12,FALSE))</f>
        <v xml:space="preserve"> </v>
      </c>
      <c r="R20" s="13" t="str">
        <f>IF(ISBLANK($B20)," ",VLOOKUP($B20,'Liste des aliments'!$C$6:$W$966,13,FALSE))</f>
        <v xml:space="preserve"> </v>
      </c>
      <c r="S20" s="12" t="str">
        <f>IF(ISBLANK($B20)," ",VLOOKUP($B20,'Liste des aliments'!$C$6:$W$966,14,FALSE))</f>
        <v xml:space="preserve"> </v>
      </c>
      <c r="T20" s="12" t="str">
        <f>IF(ISBLANK($B20)," ",VLOOKUP($B20,'Liste des aliments'!$C$6:$W$966,15,FALSE))</f>
        <v xml:space="preserve"> </v>
      </c>
      <c r="U20" s="12" t="str">
        <f>IF(ISBLANK($B20)," ",VLOOKUP($B20,'Liste des aliments'!$C$6:$W$966,16,FALSE))</f>
        <v xml:space="preserve"> </v>
      </c>
      <c r="V20" s="12" t="str">
        <f>IF(ISBLANK($B20)," ",VLOOKUP($B20,'Liste des aliments'!$C$6:$W$966,17,FALSE))</f>
        <v xml:space="preserve"> </v>
      </c>
      <c r="W20" s="12" t="str">
        <f>IF(ISBLANK($B20)," ",VLOOKUP($B20,'Liste des aliments'!$C$6:$W$966,18,FALSE))</f>
        <v xml:space="preserve"> </v>
      </c>
      <c r="X20" s="12" t="str">
        <f>IF(ISBLANK($B20)," ",VLOOKUP($B20,'Liste des aliments'!$C$6:$W$966,20,FALSE))</f>
        <v xml:space="preserve"> </v>
      </c>
      <c r="Y20" s="107"/>
      <c r="AD20" s="141"/>
      <c r="AF20" s="639" t="s">
        <v>295</v>
      </c>
      <c r="AG20" s="147" t="s">
        <v>296</v>
      </c>
      <c r="AI20" s="109" t="s">
        <v>297</v>
      </c>
      <c r="AJ20" s="109" t="s">
        <v>298</v>
      </c>
    </row>
    <row r="21" spans="1:42" ht="14.4">
      <c r="A21" s="291"/>
      <c r="B21" s="137"/>
      <c r="C21" s="89" t="str">
        <f>IF(ISBLANK(B21),"",INDEX('Liste des aliments'!$B$6:$B$966,MATCH(B21,'Liste des aliments'!$C$6:$C$966,0)))</f>
        <v/>
      </c>
      <c r="D21" s="138"/>
      <c r="E21" s="139"/>
      <c r="F21" s="13" t="str">
        <f>IF(ISBLANK($B21)," ",VLOOKUP($B21,'Liste des aliments'!$C$6:$W$966,2,FALSE))</f>
        <v xml:space="preserve"> </v>
      </c>
      <c r="G21" s="14" t="str">
        <f t="shared" ref="G21:G32" si="1">IF(ISBLANK(B21)," ",(D21*E21/100))</f>
        <v xml:space="preserve"> </v>
      </c>
      <c r="H21" s="12" t="str">
        <f>IF(ISBLANK($B21)," ",VLOOKUP($B21,'Liste des aliments'!$C$6:$W$966,3,FALSE))</f>
        <v xml:space="preserve"> </v>
      </c>
      <c r="I21" s="12" t="str">
        <f>IF(ISBLANK($B21)," ",VLOOKUP($B21,'Liste des aliments'!$C$6:$W$966,4,FALSE))</f>
        <v xml:space="preserve"> </v>
      </c>
      <c r="J21" s="12" t="str">
        <f>IF(ISBLANK($B21)," ",VLOOKUP($B21,'Liste des aliments'!$C$6:$W$966,5,FALSE))</f>
        <v xml:space="preserve"> </v>
      </c>
      <c r="K21" s="12" t="str">
        <f>IF(ISBLANK($B21)," ",VLOOKUP($B21,'Liste des aliments'!$C$6:$W$966,6,FALSE))</f>
        <v xml:space="preserve"> </v>
      </c>
      <c r="L21" s="14" t="str">
        <f>IF(ISBLANK($B21)," ",VLOOKUP($B21,'Liste des aliments'!$C$6:$W$966,7,FALSE))</f>
        <v xml:space="preserve"> </v>
      </c>
      <c r="M21" s="14" t="str">
        <f>IF(ISBLANK($B21)," ",VLOOKUP($B21,'Liste des aliments'!$C$6:$W$966,8,FALSE))</f>
        <v xml:space="preserve"> </v>
      </c>
      <c r="N21" s="12" t="str">
        <f>IF(ISBLANK($B21)," ",VLOOKUP($B21,'Liste des aliments'!$C$6:$W$966,9,FALSE))</f>
        <v xml:space="preserve"> </v>
      </c>
      <c r="O21" s="12" t="str">
        <f>IF(ISBLANK($B21)," ",VLOOKUP($B21,'Liste des aliments'!$C$6:$W$966,10,FALSE))</f>
        <v xml:space="preserve"> </v>
      </c>
      <c r="P21" s="12" t="str">
        <f>IF(ISBLANK($B21)," ",VLOOKUP($B21,'Liste des aliments'!$C$6:$W$966,11,FALSE))</f>
        <v xml:space="preserve"> </v>
      </c>
      <c r="Q21" s="13" t="str">
        <f>IF(ISBLANK($B21)," ",VLOOKUP($B21,'Liste des aliments'!$C$6:$W$966,12,FALSE))</f>
        <v xml:space="preserve"> </v>
      </c>
      <c r="R21" s="13" t="str">
        <f>IF(ISBLANK($B21)," ",VLOOKUP($B21,'Liste des aliments'!$C$6:$W$966,13,FALSE))</f>
        <v xml:space="preserve"> </v>
      </c>
      <c r="S21" s="12" t="str">
        <f>IF(ISBLANK($B21)," ",VLOOKUP($B21,'Liste des aliments'!$C$6:$W$966,14,FALSE))</f>
        <v xml:space="preserve"> </v>
      </c>
      <c r="T21" s="12" t="str">
        <f>IF(ISBLANK($B21)," ",VLOOKUP($B21,'Liste des aliments'!$C$6:$W$966,15,FALSE))</f>
        <v xml:space="preserve"> </v>
      </c>
      <c r="U21" s="12" t="str">
        <f>IF(ISBLANK($B21)," ",VLOOKUP($B21,'Liste des aliments'!$C$6:$W$966,16,FALSE))</f>
        <v xml:space="preserve"> </v>
      </c>
      <c r="V21" s="12" t="str">
        <f>IF(ISBLANK($B21)," ",VLOOKUP($B21,'Liste des aliments'!$C$6:$W$966,17,FALSE))</f>
        <v xml:space="preserve"> </v>
      </c>
      <c r="W21" s="12" t="str">
        <f>IF(ISBLANK($B21)," ",VLOOKUP($B21,'Liste des aliments'!$C$6:$W$966,18,FALSE))</f>
        <v xml:space="preserve"> </v>
      </c>
      <c r="X21" s="12" t="str">
        <f>IF(ISBLANK($B21)," ",VLOOKUP($B21,'Liste des aliments'!$C$6:$W$966,20,FALSE))</f>
        <v xml:space="preserve"> </v>
      </c>
      <c r="Y21" s="107"/>
      <c r="AD21" s="300"/>
      <c r="AF21" s="639" t="s">
        <v>300</v>
      </c>
      <c r="AG21" s="147" t="s">
        <v>297</v>
      </c>
      <c r="AI21" s="109" t="s">
        <v>291</v>
      </c>
      <c r="AJ21" s="109" t="s">
        <v>301</v>
      </c>
    </row>
    <row r="22" spans="1:42">
      <c r="A22" s="291"/>
      <c r="B22" s="137"/>
      <c r="C22" s="89" t="str">
        <f>IF(ISBLANK(B22),"",INDEX('Liste des aliments'!$B$6:$B$966,MATCH(B22,'Liste des aliments'!$C$6:$C$966,0)))</f>
        <v/>
      </c>
      <c r="D22" s="138"/>
      <c r="E22" s="139"/>
      <c r="F22" s="13" t="str">
        <f>IF(ISBLANK($B22)," ",VLOOKUP($B22,'Liste des aliments'!$C$6:$W$966,2,FALSE))</f>
        <v xml:space="preserve"> </v>
      </c>
      <c r="G22" s="14" t="str">
        <f t="shared" si="1"/>
        <v xml:space="preserve"> </v>
      </c>
      <c r="H22" s="12" t="str">
        <f>IF(ISBLANK($B22)," ",VLOOKUP($B22,'Liste des aliments'!$C$6:$W$966,3,FALSE))</f>
        <v xml:space="preserve"> </v>
      </c>
      <c r="I22" s="12" t="str">
        <f>IF(ISBLANK($B22)," ",VLOOKUP($B22,'Liste des aliments'!$C$6:$W$966,4,FALSE))</f>
        <v xml:space="preserve"> </v>
      </c>
      <c r="J22" s="12" t="str">
        <f>IF(ISBLANK($B22)," ",VLOOKUP($B22,'Liste des aliments'!$C$6:$W$966,5,FALSE))</f>
        <v xml:space="preserve"> </v>
      </c>
      <c r="K22" s="12" t="str">
        <f>IF(ISBLANK($B22)," ",VLOOKUP($B22,'Liste des aliments'!$C$6:$W$966,6,FALSE))</f>
        <v xml:space="preserve"> </v>
      </c>
      <c r="L22" s="14" t="str">
        <f>IF(ISBLANK($B22)," ",VLOOKUP($B22,'Liste des aliments'!$C$6:$W$966,7,FALSE))</f>
        <v xml:space="preserve"> </v>
      </c>
      <c r="M22" s="14" t="str">
        <f>IF(ISBLANK($B22)," ",VLOOKUP($B22,'Liste des aliments'!$C$6:$W$966,8,FALSE))</f>
        <v xml:space="preserve"> </v>
      </c>
      <c r="N22" s="12" t="str">
        <f>IF(ISBLANK($B22)," ",VLOOKUP($B22,'Liste des aliments'!$C$6:$W$966,9,FALSE))</f>
        <v xml:space="preserve"> </v>
      </c>
      <c r="O22" s="12" t="str">
        <f>IF(ISBLANK($B22)," ",VLOOKUP($B22,'Liste des aliments'!$C$6:$W$966,10,FALSE))</f>
        <v xml:space="preserve"> </v>
      </c>
      <c r="P22" s="12" t="str">
        <f>IF(ISBLANK($B22)," ",VLOOKUP($B22,'Liste des aliments'!$C$6:$W$966,11,FALSE))</f>
        <v xml:space="preserve"> </v>
      </c>
      <c r="Q22" s="13" t="str">
        <f>IF(ISBLANK($B22)," ",VLOOKUP($B22,'Liste des aliments'!$C$6:$W$966,12,FALSE))</f>
        <v xml:space="preserve"> </v>
      </c>
      <c r="R22" s="13" t="str">
        <f>IF(ISBLANK($B22)," ",VLOOKUP($B22,'Liste des aliments'!$C$6:$W$966,13,FALSE))</f>
        <v xml:space="preserve"> </v>
      </c>
      <c r="S22" s="12" t="str">
        <f>IF(ISBLANK($B22)," ",VLOOKUP($B22,'Liste des aliments'!$C$6:$W$966,14,FALSE))</f>
        <v xml:space="preserve"> </v>
      </c>
      <c r="T22" s="12" t="str">
        <f>IF(ISBLANK($B22)," ",VLOOKUP($B22,'Liste des aliments'!$C$6:$W$966,15,FALSE))</f>
        <v xml:space="preserve"> </v>
      </c>
      <c r="U22" s="12" t="str">
        <f>IF(ISBLANK($B22)," ",VLOOKUP($B22,'Liste des aliments'!$C$6:$W$966,16,FALSE))</f>
        <v xml:space="preserve"> </v>
      </c>
      <c r="V22" s="12" t="str">
        <f>IF(ISBLANK($B22)," ",VLOOKUP($B22,'Liste des aliments'!$C$6:$W$966,17,FALSE))</f>
        <v xml:space="preserve"> </v>
      </c>
      <c r="W22" s="12" t="str">
        <f>IF(ISBLANK($B22)," ",VLOOKUP($B22,'Liste des aliments'!$C$6:$W$966,18,FALSE))</f>
        <v xml:space="preserve"> </v>
      </c>
      <c r="X22" s="12" t="str">
        <f>IF(ISBLANK($B22)," ",VLOOKUP($B22,'Liste des aliments'!$C$6:$W$966,20,FALSE))</f>
        <v xml:space="preserve"> </v>
      </c>
      <c r="Y22" s="107"/>
      <c r="AF22" s="639" t="s">
        <v>302</v>
      </c>
      <c r="AG22" s="147" t="s">
        <v>293</v>
      </c>
      <c r="AI22" s="109" t="s">
        <v>296</v>
      </c>
      <c r="AJ22" s="109" t="s">
        <v>303</v>
      </c>
    </row>
    <row r="23" spans="1:42">
      <c r="A23" s="291"/>
      <c r="B23" s="137"/>
      <c r="C23" s="89" t="str">
        <f>IF(ISBLANK(B23),"",INDEX('Liste des aliments'!$B$6:$B$966,MATCH(B23,'Liste des aliments'!$C$6:$C$966,0)))</f>
        <v/>
      </c>
      <c r="D23" s="138"/>
      <c r="E23" s="139"/>
      <c r="F23" s="13" t="str">
        <f>IF(ISBLANK($B23)," ",VLOOKUP($B23,'Liste des aliments'!$C$6:$W$966,2,FALSE))</f>
        <v xml:space="preserve"> </v>
      </c>
      <c r="G23" s="14" t="str">
        <f t="shared" si="1"/>
        <v xml:space="preserve"> </v>
      </c>
      <c r="H23" s="12" t="str">
        <f>IF(ISBLANK($B23)," ",VLOOKUP($B23,'Liste des aliments'!$C$6:$W$966,3,FALSE))</f>
        <v xml:space="preserve"> </v>
      </c>
      <c r="I23" s="12" t="str">
        <f>IF(ISBLANK($B23)," ",VLOOKUP($B23,'Liste des aliments'!$C$6:$W$966,4,FALSE))</f>
        <v xml:space="preserve"> </v>
      </c>
      <c r="J23" s="12" t="str">
        <f>IF(ISBLANK($B23)," ",VLOOKUP($B23,'Liste des aliments'!$C$6:$W$966,5,FALSE))</f>
        <v xml:space="preserve"> </v>
      </c>
      <c r="K23" s="12" t="str">
        <f>IF(ISBLANK($B23)," ",VLOOKUP($B23,'Liste des aliments'!$C$6:$W$966,6,FALSE))</f>
        <v xml:space="preserve"> </v>
      </c>
      <c r="L23" s="14" t="str">
        <f>IF(ISBLANK($B23)," ",VLOOKUP($B23,'Liste des aliments'!$C$6:$W$966,7,FALSE))</f>
        <v xml:space="preserve"> </v>
      </c>
      <c r="M23" s="14" t="str">
        <f>IF(ISBLANK($B23)," ",VLOOKUP($B23,'Liste des aliments'!$C$6:$W$966,8,FALSE))</f>
        <v xml:space="preserve"> </v>
      </c>
      <c r="N23" s="12" t="str">
        <f>IF(ISBLANK($B23)," ",VLOOKUP($B23,'Liste des aliments'!$C$6:$W$966,9,FALSE))</f>
        <v xml:space="preserve"> </v>
      </c>
      <c r="O23" s="12" t="str">
        <f>IF(ISBLANK($B23)," ",VLOOKUP($B23,'Liste des aliments'!$C$6:$W$966,10,FALSE))</f>
        <v xml:space="preserve"> </v>
      </c>
      <c r="P23" s="12" t="str">
        <f>IF(ISBLANK($B23)," ",VLOOKUP($B23,'Liste des aliments'!$C$6:$W$966,11,FALSE))</f>
        <v xml:space="preserve"> </v>
      </c>
      <c r="Q23" s="13" t="str">
        <f>IF(ISBLANK($B23)," ",VLOOKUP($B23,'Liste des aliments'!$C$6:$W$966,12,FALSE))</f>
        <v xml:space="preserve"> </v>
      </c>
      <c r="R23" s="13" t="str">
        <f>IF(ISBLANK($B23)," ",VLOOKUP($B23,'Liste des aliments'!$C$6:$W$966,13,FALSE))</f>
        <v xml:space="preserve"> </v>
      </c>
      <c r="S23" s="12" t="str">
        <f>IF(ISBLANK($B23)," ",VLOOKUP($B23,'Liste des aliments'!$C$6:$W$966,14,FALSE))</f>
        <v xml:space="preserve"> </v>
      </c>
      <c r="T23" s="12" t="str">
        <f>IF(ISBLANK($B23)," ",VLOOKUP($B23,'Liste des aliments'!$C$6:$W$966,15,FALSE))</f>
        <v xml:space="preserve"> </v>
      </c>
      <c r="U23" s="12" t="str">
        <f>IF(ISBLANK($B23)," ",VLOOKUP($B23,'Liste des aliments'!$C$6:$W$966,16,FALSE))</f>
        <v xml:space="preserve"> </v>
      </c>
      <c r="V23" s="12" t="str">
        <f>IF(ISBLANK($B23)," ",VLOOKUP($B23,'Liste des aliments'!$C$6:$W$966,17,FALSE))</f>
        <v xml:space="preserve"> </v>
      </c>
      <c r="W23" s="12" t="str">
        <f>IF(ISBLANK($B23)," ",VLOOKUP($B23,'Liste des aliments'!$C$6:$W$966,18,FALSE))</f>
        <v xml:space="preserve"> </v>
      </c>
      <c r="X23" s="12" t="str">
        <f>IF(ISBLANK($B23)," ",VLOOKUP($B23,'Liste des aliments'!$C$6:$W$966,20,FALSE))</f>
        <v xml:space="preserve"> </v>
      </c>
      <c r="Y23" s="107"/>
      <c r="AF23" s="639" t="s">
        <v>305</v>
      </c>
      <c r="AG23" s="147" t="s">
        <v>291</v>
      </c>
      <c r="AI23" s="109" t="s">
        <v>293</v>
      </c>
      <c r="AJ23" s="109" t="s">
        <v>306</v>
      </c>
    </row>
    <row r="24" spans="1:42">
      <c r="A24" s="291"/>
      <c r="B24" s="137"/>
      <c r="C24" s="89" t="str">
        <f>IF(ISBLANK(B24),"",INDEX('Liste des aliments'!$B$6:$B$966,MATCH(B24,'Liste des aliments'!$C$6:$C$966,0)))</f>
        <v/>
      </c>
      <c r="D24" s="138"/>
      <c r="E24" s="139"/>
      <c r="F24" s="13" t="str">
        <f>IF(ISBLANK($B24)," ",VLOOKUP($B24,'Liste des aliments'!$C$6:$W$966,2,FALSE))</f>
        <v xml:space="preserve"> </v>
      </c>
      <c r="G24" s="14" t="str">
        <f t="shared" si="1"/>
        <v xml:space="preserve"> </v>
      </c>
      <c r="H24" s="12" t="str">
        <f>IF(ISBLANK($B24)," ",VLOOKUP($B24,'Liste des aliments'!$C$6:$W$966,3,FALSE))</f>
        <v xml:space="preserve"> </v>
      </c>
      <c r="I24" s="12" t="str">
        <f>IF(ISBLANK($B24)," ",VLOOKUP($B24,'Liste des aliments'!$C$6:$W$966,4,FALSE))</f>
        <v xml:space="preserve"> </v>
      </c>
      <c r="J24" s="12" t="str">
        <f>IF(ISBLANK($B24)," ",VLOOKUP($B24,'Liste des aliments'!$C$6:$W$966,5,FALSE))</f>
        <v xml:space="preserve"> </v>
      </c>
      <c r="K24" s="12" t="str">
        <f>IF(ISBLANK($B24)," ",VLOOKUP($B24,'Liste des aliments'!$C$6:$W$966,6,FALSE))</f>
        <v xml:space="preserve"> </v>
      </c>
      <c r="L24" s="14" t="str">
        <f>IF(ISBLANK($B24)," ",VLOOKUP($B24,'Liste des aliments'!$C$6:$W$966,7,FALSE))</f>
        <v xml:space="preserve"> </v>
      </c>
      <c r="M24" s="14" t="str">
        <f>IF(ISBLANK($B24)," ",VLOOKUP($B24,'Liste des aliments'!$C$6:$W$966,8,FALSE))</f>
        <v xml:space="preserve"> </v>
      </c>
      <c r="N24" s="12" t="str">
        <f>IF(ISBLANK($B24)," ",VLOOKUP($B24,'Liste des aliments'!$C$6:$W$966,9,FALSE))</f>
        <v xml:space="preserve"> </v>
      </c>
      <c r="O24" s="12" t="str">
        <f>IF(ISBLANK($B24)," ",VLOOKUP($B24,'Liste des aliments'!$C$6:$W$966,10,FALSE))</f>
        <v xml:space="preserve"> </v>
      </c>
      <c r="P24" s="12" t="str">
        <f>IF(ISBLANK($B24)," ",VLOOKUP($B24,'Liste des aliments'!$C$6:$W$966,11,FALSE))</f>
        <v xml:space="preserve"> </v>
      </c>
      <c r="Q24" s="13" t="str">
        <f>IF(ISBLANK($B24)," ",VLOOKUP($B24,'Liste des aliments'!$C$6:$W$966,12,FALSE))</f>
        <v xml:space="preserve"> </v>
      </c>
      <c r="R24" s="13" t="str">
        <f>IF(ISBLANK($B24)," ",VLOOKUP($B24,'Liste des aliments'!$C$6:$W$966,13,FALSE))</f>
        <v xml:space="preserve"> </v>
      </c>
      <c r="S24" s="12" t="str">
        <f>IF(ISBLANK($B24)," ",VLOOKUP($B24,'Liste des aliments'!$C$6:$W$966,14,FALSE))</f>
        <v xml:space="preserve"> </v>
      </c>
      <c r="T24" s="12" t="str">
        <f>IF(ISBLANK($B24)," ",VLOOKUP($B24,'Liste des aliments'!$C$6:$W$966,15,FALSE))</f>
        <v xml:space="preserve"> </v>
      </c>
      <c r="U24" s="12" t="str">
        <f>IF(ISBLANK($B24)," ",VLOOKUP($B24,'Liste des aliments'!$C$6:$W$966,16,FALSE))</f>
        <v xml:space="preserve"> </v>
      </c>
      <c r="V24" s="12" t="str">
        <f>IF(ISBLANK($B24)," ",VLOOKUP($B24,'Liste des aliments'!$C$6:$W$966,17,FALSE))</f>
        <v xml:space="preserve"> </v>
      </c>
      <c r="W24" s="12" t="str">
        <f>IF(ISBLANK($B24)," ",VLOOKUP($B24,'Liste des aliments'!$C$6:$W$966,18,FALSE))</f>
        <v xml:space="preserve"> </v>
      </c>
      <c r="X24" s="12" t="str">
        <f>IF(ISBLANK($B24)," ",VLOOKUP($B24,'Liste des aliments'!$C$6:$W$966,20,FALSE))</f>
        <v xml:space="preserve"> </v>
      </c>
      <c r="Y24" s="107"/>
      <c r="AF24" s="639" t="s">
        <v>307</v>
      </c>
      <c r="AG24" s="147" t="s">
        <v>291</v>
      </c>
    </row>
    <row r="25" spans="1:42">
      <c r="A25" s="291"/>
      <c r="B25" s="137"/>
      <c r="C25" s="89" t="str">
        <f>IF(ISBLANK(B25),"",INDEX('Liste des aliments'!$B$6:$B$966,MATCH(B25,'Liste des aliments'!$C$6:$C$966,0)))</f>
        <v/>
      </c>
      <c r="D25" s="138"/>
      <c r="E25" s="139"/>
      <c r="F25" s="13" t="str">
        <f>IF(ISBLANK($B25)," ",VLOOKUP($B25,'Liste des aliments'!$C$6:$W$966,2,FALSE))</f>
        <v xml:space="preserve"> </v>
      </c>
      <c r="G25" s="14" t="str">
        <f t="shared" si="1"/>
        <v xml:space="preserve"> </v>
      </c>
      <c r="H25" s="12" t="str">
        <f>IF(ISBLANK($B25)," ",VLOOKUP($B25,'Liste des aliments'!$C$6:$W$966,3,FALSE))</f>
        <v xml:space="preserve"> </v>
      </c>
      <c r="I25" s="12" t="str">
        <f>IF(ISBLANK($B25)," ",VLOOKUP($B25,'Liste des aliments'!$C$6:$W$966,4,FALSE))</f>
        <v xml:space="preserve"> </v>
      </c>
      <c r="J25" s="12" t="str">
        <f>IF(ISBLANK($B25)," ",VLOOKUP($B25,'Liste des aliments'!$C$6:$W$966,5,FALSE))</f>
        <v xml:space="preserve"> </v>
      </c>
      <c r="K25" s="12" t="str">
        <f>IF(ISBLANK($B25)," ",VLOOKUP($B25,'Liste des aliments'!$C$6:$W$966,6,FALSE))</f>
        <v xml:space="preserve"> </v>
      </c>
      <c r="L25" s="14" t="str">
        <f>IF(ISBLANK($B25)," ",VLOOKUP($B25,'Liste des aliments'!$C$6:$W$966,7,FALSE))</f>
        <v xml:space="preserve"> </v>
      </c>
      <c r="M25" s="14" t="str">
        <f>IF(ISBLANK($B25)," ",VLOOKUP($B25,'Liste des aliments'!$C$6:$W$966,8,FALSE))</f>
        <v xml:space="preserve"> </v>
      </c>
      <c r="N25" s="12" t="str">
        <f>IF(ISBLANK($B25)," ",VLOOKUP($B25,'Liste des aliments'!$C$6:$W$966,9,FALSE))</f>
        <v xml:space="preserve"> </v>
      </c>
      <c r="O25" s="12" t="str">
        <f>IF(ISBLANK($B25)," ",VLOOKUP($B25,'Liste des aliments'!$C$6:$W$966,10,FALSE))</f>
        <v xml:space="preserve"> </v>
      </c>
      <c r="P25" s="12" t="str">
        <f>IF(ISBLANK($B25)," ",VLOOKUP($B25,'Liste des aliments'!$C$6:$W$966,11,FALSE))</f>
        <v xml:space="preserve"> </v>
      </c>
      <c r="Q25" s="13" t="str">
        <f>IF(ISBLANK($B25)," ",VLOOKUP($B25,'Liste des aliments'!$C$6:$W$966,12,FALSE))</f>
        <v xml:space="preserve"> </v>
      </c>
      <c r="R25" s="13" t="str">
        <f>IF(ISBLANK($B25)," ",VLOOKUP($B25,'Liste des aliments'!$C$6:$W$966,13,FALSE))</f>
        <v xml:space="preserve"> </v>
      </c>
      <c r="S25" s="12" t="str">
        <f>IF(ISBLANK($B25)," ",VLOOKUP($B25,'Liste des aliments'!$C$6:$W$966,14,FALSE))</f>
        <v xml:space="preserve"> </v>
      </c>
      <c r="T25" s="12" t="str">
        <f>IF(ISBLANK($B25)," ",VLOOKUP($B25,'Liste des aliments'!$C$6:$W$966,15,FALSE))</f>
        <v xml:space="preserve"> </v>
      </c>
      <c r="U25" s="12" t="str">
        <f>IF(ISBLANK($B25)," ",VLOOKUP($B25,'Liste des aliments'!$C$6:$W$966,16,FALSE))</f>
        <v xml:space="preserve"> </v>
      </c>
      <c r="V25" s="12" t="str">
        <f>IF(ISBLANK($B25)," ",VLOOKUP($B25,'Liste des aliments'!$C$6:$W$966,17,FALSE))</f>
        <v xml:space="preserve"> </v>
      </c>
      <c r="W25" s="12" t="str">
        <f>IF(ISBLANK($B25)," ",VLOOKUP($B25,'Liste des aliments'!$C$6:$W$966,18,FALSE))</f>
        <v xml:space="preserve"> </v>
      </c>
      <c r="X25" s="12" t="str">
        <f>IF(ISBLANK($B25)," ",VLOOKUP($B25,'Liste des aliments'!$C$6:$W$966,20,FALSE))</f>
        <v xml:space="preserve"> </v>
      </c>
      <c r="Y25" s="107"/>
      <c r="AF25" s="639" t="s">
        <v>308</v>
      </c>
      <c r="AG25" s="147" t="s">
        <v>291</v>
      </c>
    </row>
    <row r="26" spans="1:42">
      <c r="A26" s="291"/>
      <c r="B26" s="137"/>
      <c r="C26" s="89" t="str">
        <f>IF(ISBLANK(B26),"",INDEX('Liste des aliments'!$B$6:$B$966,MATCH(B26,'Liste des aliments'!$C$6:$C$966,0)))</f>
        <v/>
      </c>
      <c r="D26" s="138"/>
      <c r="E26" s="139"/>
      <c r="F26" s="13" t="str">
        <f>IF(ISBLANK($B26)," ",VLOOKUP($B26,'Liste des aliments'!$C$6:$W$966,2,FALSE))</f>
        <v xml:space="preserve"> </v>
      </c>
      <c r="G26" s="14" t="str">
        <f t="shared" si="1"/>
        <v xml:space="preserve"> </v>
      </c>
      <c r="H26" s="12" t="str">
        <f>IF(ISBLANK($B26)," ",VLOOKUP($B26,'Liste des aliments'!$C$6:$W$966,3,FALSE))</f>
        <v xml:space="preserve"> </v>
      </c>
      <c r="I26" s="12" t="str">
        <f>IF(ISBLANK($B26)," ",VLOOKUP($B26,'Liste des aliments'!$C$6:$W$966,4,FALSE))</f>
        <v xml:space="preserve"> </v>
      </c>
      <c r="J26" s="12" t="str">
        <f>IF(ISBLANK($B26)," ",VLOOKUP($B26,'Liste des aliments'!$C$6:$W$966,5,FALSE))</f>
        <v xml:space="preserve"> </v>
      </c>
      <c r="K26" s="12" t="str">
        <f>IF(ISBLANK($B26)," ",VLOOKUP($B26,'Liste des aliments'!$C$6:$W$966,6,FALSE))</f>
        <v xml:space="preserve"> </v>
      </c>
      <c r="L26" s="14" t="str">
        <f>IF(ISBLANK($B26)," ",VLOOKUP($B26,'Liste des aliments'!$C$6:$W$966,7,FALSE))</f>
        <v xml:space="preserve"> </v>
      </c>
      <c r="M26" s="14" t="str">
        <f>IF(ISBLANK($B26)," ",VLOOKUP($B26,'Liste des aliments'!$C$6:$W$966,8,FALSE))</f>
        <v xml:space="preserve"> </v>
      </c>
      <c r="N26" s="12" t="str">
        <f>IF(ISBLANK($B26)," ",VLOOKUP($B26,'Liste des aliments'!$C$6:$W$966,9,FALSE))</f>
        <v xml:space="preserve"> </v>
      </c>
      <c r="O26" s="12" t="str">
        <f>IF(ISBLANK($B26)," ",VLOOKUP($B26,'Liste des aliments'!$C$6:$W$966,10,FALSE))</f>
        <v xml:space="preserve"> </v>
      </c>
      <c r="P26" s="12" t="str">
        <f>IF(ISBLANK($B26)," ",VLOOKUP($B26,'Liste des aliments'!$C$6:$W$966,11,FALSE))</f>
        <v xml:space="preserve"> </v>
      </c>
      <c r="Q26" s="13" t="str">
        <f>IF(ISBLANK($B26)," ",VLOOKUP($B26,'Liste des aliments'!$C$6:$W$966,12,FALSE))</f>
        <v xml:space="preserve"> </v>
      </c>
      <c r="R26" s="13" t="str">
        <f>IF(ISBLANK($B26)," ",VLOOKUP($B26,'Liste des aliments'!$C$6:$W$966,13,FALSE))</f>
        <v xml:space="preserve"> </v>
      </c>
      <c r="S26" s="12" t="str">
        <f>IF(ISBLANK($B26)," ",VLOOKUP($B26,'Liste des aliments'!$C$6:$W$966,14,FALSE))</f>
        <v xml:space="preserve"> </v>
      </c>
      <c r="T26" s="12" t="str">
        <f>IF(ISBLANK($B26)," ",VLOOKUP($B26,'Liste des aliments'!$C$6:$W$966,15,FALSE))</f>
        <v xml:space="preserve"> </v>
      </c>
      <c r="U26" s="12" t="str">
        <f>IF(ISBLANK($B26)," ",VLOOKUP($B26,'Liste des aliments'!$C$6:$W$966,16,FALSE))</f>
        <v xml:space="preserve"> </v>
      </c>
      <c r="V26" s="12" t="str">
        <f>IF(ISBLANK($B26)," ",VLOOKUP($B26,'Liste des aliments'!$C$6:$W$966,17,FALSE))</f>
        <v xml:space="preserve"> </v>
      </c>
      <c r="W26" s="12" t="str">
        <f>IF(ISBLANK($B26)," ",VLOOKUP($B26,'Liste des aliments'!$C$6:$W$966,18,FALSE))</f>
        <v xml:space="preserve"> </v>
      </c>
      <c r="X26" s="12" t="str">
        <f>IF(ISBLANK($B26)," ",VLOOKUP($B26,'Liste des aliments'!$C$6:$W$966,20,FALSE))</f>
        <v xml:space="preserve"> </v>
      </c>
      <c r="Y26" s="107"/>
    </row>
    <row r="27" spans="1:42">
      <c r="A27" s="291"/>
      <c r="B27" s="137"/>
      <c r="C27" s="89" t="str">
        <f>IF(ISBLANK(B27),"",INDEX('Liste des aliments'!$B$6:$B$966,MATCH(B27,'Liste des aliments'!$C$6:$C$966,0)))</f>
        <v/>
      </c>
      <c r="D27" s="138"/>
      <c r="E27" s="139"/>
      <c r="F27" s="13" t="str">
        <f>IF(ISBLANK($B27)," ",VLOOKUP($B27,'Liste des aliments'!$C$6:$W$966,2,FALSE))</f>
        <v xml:space="preserve"> </v>
      </c>
      <c r="G27" s="14" t="str">
        <f t="shared" si="1"/>
        <v xml:space="preserve"> </v>
      </c>
      <c r="H27" s="12" t="str">
        <f>IF(ISBLANK($B27)," ",VLOOKUP($B27,'Liste des aliments'!$C$6:$W$966,3,FALSE))</f>
        <v xml:space="preserve"> </v>
      </c>
      <c r="I27" s="12" t="str">
        <f>IF(ISBLANK($B27)," ",VLOOKUP($B27,'Liste des aliments'!$C$6:$W$966,4,FALSE))</f>
        <v xml:space="preserve"> </v>
      </c>
      <c r="J27" s="12" t="str">
        <f>IF(ISBLANK($B27)," ",VLOOKUP($B27,'Liste des aliments'!$C$6:$W$966,5,FALSE))</f>
        <v xml:space="preserve"> </v>
      </c>
      <c r="K27" s="12" t="str">
        <f>IF(ISBLANK($B27)," ",VLOOKUP($B27,'Liste des aliments'!$C$6:$W$966,6,FALSE))</f>
        <v xml:space="preserve"> </v>
      </c>
      <c r="L27" s="14" t="str">
        <f>IF(ISBLANK($B27)," ",VLOOKUP($B27,'Liste des aliments'!$C$6:$W$966,7,FALSE))</f>
        <v xml:space="preserve"> </v>
      </c>
      <c r="M27" s="14" t="str">
        <f>IF(ISBLANK($B27)," ",VLOOKUP($B27,'Liste des aliments'!$C$6:$W$966,8,FALSE))</f>
        <v xml:space="preserve"> </v>
      </c>
      <c r="N27" s="12" t="str">
        <f>IF(ISBLANK($B27)," ",VLOOKUP($B27,'Liste des aliments'!$C$6:$W$966,9,FALSE))</f>
        <v xml:space="preserve"> </v>
      </c>
      <c r="O27" s="12" t="str">
        <f>IF(ISBLANK($B27)," ",VLOOKUP($B27,'Liste des aliments'!$C$6:$W$966,10,FALSE))</f>
        <v xml:space="preserve"> </v>
      </c>
      <c r="P27" s="12" t="str">
        <f>IF(ISBLANK($B27)," ",VLOOKUP($B27,'Liste des aliments'!$C$6:$W$966,11,FALSE))</f>
        <v xml:space="preserve"> </v>
      </c>
      <c r="Q27" s="13" t="str">
        <f>IF(ISBLANK($B27)," ",VLOOKUP($B27,'Liste des aliments'!$C$6:$W$966,12,FALSE))</f>
        <v xml:space="preserve"> </v>
      </c>
      <c r="R27" s="13" t="str">
        <f>IF(ISBLANK($B27)," ",VLOOKUP($B27,'Liste des aliments'!$C$6:$W$966,13,FALSE))</f>
        <v xml:space="preserve"> </v>
      </c>
      <c r="S27" s="12" t="str">
        <f>IF(ISBLANK($B27)," ",VLOOKUP($B27,'Liste des aliments'!$C$6:$W$966,14,FALSE))</f>
        <v xml:space="preserve"> </v>
      </c>
      <c r="T27" s="12" t="str">
        <f>IF(ISBLANK($B27)," ",VLOOKUP($B27,'Liste des aliments'!$C$6:$W$966,15,FALSE))</f>
        <v xml:space="preserve"> </v>
      </c>
      <c r="U27" s="12" t="str">
        <f>IF(ISBLANK($B27)," ",VLOOKUP($B27,'Liste des aliments'!$C$6:$W$966,16,FALSE))</f>
        <v xml:space="preserve"> </v>
      </c>
      <c r="V27" s="12" t="str">
        <f>IF(ISBLANK($B27)," ",VLOOKUP($B27,'Liste des aliments'!$C$6:$W$966,17,FALSE))</f>
        <v xml:space="preserve"> </v>
      </c>
      <c r="W27" s="12" t="str">
        <f>IF(ISBLANK($B27)," ",VLOOKUP($B27,'Liste des aliments'!$C$6:$W$966,18,FALSE))</f>
        <v xml:space="preserve"> </v>
      </c>
      <c r="X27" s="12" t="str">
        <f>IF(ISBLANK($B27)," ",VLOOKUP($B27,'Liste des aliments'!$C$6:$W$966,20,FALSE))</f>
        <v xml:space="preserve"> </v>
      </c>
      <c r="Y27" s="107"/>
      <c r="AF27" s="109" t="s">
        <v>424</v>
      </c>
    </row>
    <row r="28" spans="1:42">
      <c r="A28" s="291"/>
      <c r="B28" s="137"/>
      <c r="C28" s="89" t="str">
        <f>IF(ISBLANK(B28),"",INDEX('Liste des aliments'!$B$6:$B$966,MATCH(B28,'Liste des aliments'!$C$6:$C$966,0)))</f>
        <v/>
      </c>
      <c r="D28" s="138"/>
      <c r="E28" s="139"/>
      <c r="F28" s="13" t="str">
        <f>IF(ISBLANK($B28)," ",VLOOKUP($B28,'Liste des aliments'!$C$6:$W$966,2,FALSE))</f>
        <v xml:space="preserve"> </v>
      </c>
      <c r="G28" s="14" t="str">
        <f t="shared" si="1"/>
        <v xml:space="preserve"> </v>
      </c>
      <c r="H28" s="12" t="str">
        <f>IF(ISBLANK($B28)," ",VLOOKUP($B28,'Liste des aliments'!$C$6:$W$966,3,FALSE))</f>
        <v xml:space="preserve"> </v>
      </c>
      <c r="I28" s="12" t="str">
        <f>IF(ISBLANK($B28)," ",VLOOKUP($B28,'Liste des aliments'!$C$6:$W$966,4,FALSE))</f>
        <v xml:space="preserve"> </v>
      </c>
      <c r="J28" s="12" t="str">
        <f>IF(ISBLANK($B28)," ",VLOOKUP($B28,'Liste des aliments'!$C$6:$W$966,5,FALSE))</f>
        <v xml:space="preserve"> </v>
      </c>
      <c r="K28" s="12" t="str">
        <f>IF(ISBLANK($B28)," ",VLOOKUP($B28,'Liste des aliments'!$C$6:$W$966,6,FALSE))</f>
        <v xml:space="preserve"> </v>
      </c>
      <c r="L28" s="14" t="str">
        <f>IF(ISBLANK($B28)," ",VLOOKUP($B28,'Liste des aliments'!$C$6:$W$966,7,FALSE))</f>
        <v xml:space="preserve"> </v>
      </c>
      <c r="M28" s="14" t="str">
        <f>IF(ISBLANK($B28)," ",VLOOKUP($B28,'Liste des aliments'!$C$6:$W$966,8,FALSE))</f>
        <v xml:space="preserve"> </v>
      </c>
      <c r="N28" s="12" t="str">
        <f>IF(ISBLANK($B28)," ",VLOOKUP($B28,'Liste des aliments'!$C$6:$W$966,9,FALSE))</f>
        <v xml:space="preserve"> </v>
      </c>
      <c r="O28" s="12" t="str">
        <f>IF(ISBLANK($B28)," ",VLOOKUP($B28,'Liste des aliments'!$C$6:$W$966,10,FALSE))</f>
        <v xml:space="preserve"> </v>
      </c>
      <c r="P28" s="12" t="str">
        <f>IF(ISBLANK($B28)," ",VLOOKUP($B28,'Liste des aliments'!$C$6:$W$966,11,FALSE))</f>
        <v xml:space="preserve"> </v>
      </c>
      <c r="Q28" s="13" t="str">
        <f>IF(ISBLANK($B28)," ",VLOOKUP($B28,'Liste des aliments'!$C$6:$W$966,12,FALSE))</f>
        <v xml:space="preserve"> </v>
      </c>
      <c r="R28" s="13" t="str">
        <f>IF(ISBLANK($B28)," ",VLOOKUP($B28,'Liste des aliments'!$C$6:$W$966,13,FALSE))</f>
        <v xml:space="preserve"> </v>
      </c>
      <c r="S28" s="12" t="str">
        <f>IF(ISBLANK($B28)," ",VLOOKUP($B28,'Liste des aliments'!$C$6:$W$966,14,FALSE))</f>
        <v xml:space="preserve"> </v>
      </c>
      <c r="T28" s="12" t="str">
        <f>IF(ISBLANK($B28)," ",VLOOKUP($B28,'Liste des aliments'!$C$6:$W$966,15,FALSE))</f>
        <v xml:space="preserve"> </v>
      </c>
      <c r="U28" s="12" t="str">
        <f>IF(ISBLANK($B28)," ",VLOOKUP($B28,'Liste des aliments'!$C$6:$W$966,16,FALSE))</f>
        <v xml:space="preserve"> </v>
      </c>
      <c r="V28" s="12" t="str">
        <f>IF(ISBLANK($B28)," ",VLOOKUP($B28,'Liste des aliments'!$C$6:$W$966,17,FALSE))</f>
        <v xml:space="preserve"> </v>
      </c>
      <c r="W28" s="12" t="str">
        <f>IF(ISBLANK($B28)," ",VLOOKUP($B28,'Liste des aliments'!$C$6:$W$966,18,FALSE))</f>
        <v xml:space="preserve"> </v>
      </c>
      <c r="X28" s="12" t="str">
        <f>IF(ISBLANK($B28)," ",VLOOKUP($B28,'Liste des aliments'!$C$6:$W$966,20,FALSE))</f>
        <v xml:space="preserve"> </v>
      </c>
      <c r="Y28" s="107"/>
      <c r="AF28" s="147">
        <v>250</v>
      </c>
      <c r="AG28" s="147">
        <v>300</v>
      </c>
      <c r="AH28" s="147">
        <v>350</v>
      </c>
      <c r="AI28" s="147">
        <v>400</v>
      </c>
      <c r="AJ28" s="147">
        <v>450</v>
      </c>
      <c r="AK28" s="147">
        <v>500</v>
      </c>
      <c r="AL28" s="147">
        <v>550</v>
      </c>
      <c r="AM28" s="147">
        <v>600</v>
      </c>
      <c r="AN28" s="147">
        <v>650</v>
      </c>
      <c r="AO28" s="147">
        <v>700</v>
      </c>
      <c r="AP28" s="147">
        <v>750</v>
      </c>
    </row>
    <row r="29" spans="1:42">
      <c r="A29" s="291"/>
      <c r="B29" s="137"/>
      <c r="C29" s="89" t="str">
        <f>IF(ISBLANK(B29),"",INDEX('Liste des aliments'!$B$6:$B$966,MATCH(B29,'Liste des aliments'!$C$6:$C$966,0)))</f>
        <v/>
      </c>
      <c r="D29" s="138"/>
      <c r="E29" s="139"/>
      <c r="F29" s="13" t="str">
        <f>IF(ISBLANK($B29)," ",VLOOKUP($B29,'Liste des aliments'!$C$6:$W$966,2,FALSE))</f>
        <v xml:space="preserve"> </v>
      </c>
      <c r="G29" s="14" t="str">
        <f t="shared" si="1"/>
        <v xml:space="preserve"> </v>
      </c>
      <c r="H29" s="12" t="str">
        <f>IF(ISBLANK($B29)," ",VLOOKUP($B29,'Liste des aliments'!$C$6:$W$966,3,FALSE))</f>
        <v xml:space="preserve"> </v>
      </c>
      <c r="I29" s="12" t="str">
        <f>IF(ISBLANK($B29)," ",VLOOKUP($B29,'Liste des aliments'!$C$6:$W$966,4,FALSE))</f>
        <v xml:space="preserve"> </v>
      </c>
      <c r="J29" s="12" t="str">
        <f>IF(ISBLANK($B29)," ",VLOOKUP($B29,'Liste des aliments'!$C$6:$W$966,5,FALSE))</f>
        <v xml:space="preserve"> </v>
      </c>
      <c r="K29" s="12" t="str">
        <f>IF(ISBLANK($B29)," ",VLOOKUP($B29,'Liste des aliments'!$C$6:$W$966,6,FALSE))</f>
        <v xml:space="preserve"> </v>
      </c>
      <c r="L29" s="14" t="str">
        <f>IF(ISBLANK($B29)," ",VLOOKUP($B29,'Liste des aliments'!$C$6:$W$966,7,FALSE))</f>
        <v xml:space="preserve"> </v>
      </c>
      <c r="M29" s="14" t="str">
        <f>IF(ISBLANK($B29)," ",VLOOKUP($B29,'Liste des aliments'!$C$6:$W$966,8,FALSE))</f>
        <v xml:space="preserve"> </v>
      </c>
      <c r="N29" s="12" t="str">
        <f>IF(ISBLANK($B29)," ",VLOOKUP($B29,'Liste des aliments'!$C$6:$W$966,9,FALSE))</f>
        <v xml:space="preserve"> </v>
      </c>
      <c r="O29" s="12" t="str">
        <f>IF(ISBLANK($B29)," ",VLOOKUP($B29,'Liste des aliments'!$C$6:$W$966,10,FALSE))</f>
        <v xml:space="preserve"> </v>
      </c>
      <c r="P29" s="12" t="str">
        <f>IF(ISBLANK($B29)," ",VLOOKUP($B29,'Liste des aliments'!$C$6:$W$966,11,FALSE))</f>
        <v xml:space="preserve"> </v>
      </c>
      <c r="Q29" s="13" t="str">
        <f>IF(ISBLANK($B29)," ",VLOOKUP($B29,'Liste des aliments'!$C$6:$W$966,12,FALSE))</f>
        <v xml:space="preserve"> </v>
      </c>
      <c r="R29" s="13" t="str">
        <f>IF(ISBLANK($B29)," ",VLOOKUP($B29,'Liste des aliments'!$C$6:$W$966,13,FALSE))</f>
        <v xml:space="preserve"> </v>
      </c>
      <c r="S29" s="12" t="str">
        <f>IF(ISBLANK($B29)," ",VLOOKUP($B29,'Liste des aliments'!$C$6:$W$966,14,FALSE))</f>
        <v xml:space="preserve"> </v>
      </c>
      <c r="T29" s="12" t="str">
        <f>IF(ISBLANK($B29)," ",VLOOKUP($B29,'Liste des aliments'!$C$6:$W$966,15,FALSE))</f>
        <v xml:space="preserve"> </v>
      </c>
      <c r="U29" s="12" t="str">
        <f>IF(ISBLANK($B29)," ",VLOOKUP($B29,'Liste des aliments'!$C$6:$W$966,16,FALSE))</f>
        <v xml:space="preserve"> </v>
      </c>
      <c r="V29" s="12" t="str">
        <f>IF(ISBLANK($B29)," ",VLOOKUP($B29,'Liste des aliments'!$C$6:$W$966,17,FALSE))</f>
        <v xml:space="preserve"> </v>
      </c>
      <c r="W29" s="12" t="str">
        <f>IF(ISBLANK($B29)," ",VLOOKUP($B29,'Liste des aliments'!$C$6:$W$966,18,FALSE))</f>
        <v xml:space="preserve"> </v>
      </c>
      <c r="X29" s="12" t="str">
        <f>IF(ISBLANK($B29)," ",VLOOKUP($B29,'Liste des aliments'!$C$6:$W$966,20,FALSE))</f>
        <v xml:space="preserve"> </v>
      </c>
      <c r="Y29" s="107"/>
      <c r="AE29" s="611" t="e">
        <f>HLOOKUP(D11,AF28:AP29,2)</f>
        <v>#N/A</v>
      </c>
      <c r="AF29" s="637" t="s">
        <v>298</v>
      </c>
      <c r="AG29" s="637" t="s">
        <v>301</v>
      </c>
      <c r="AH29" s="637" t="s">
        <v>303</v>
      </c>
      <c r="AI29" s="637" t="s">
        <v>306</v>
      </c>
      <c r="AJ29" s="637" t="s">
        <v>425</v>
      </c>
      <c r="AK29" s="637" t="s">
        <v>426</v>
      </c>
      <c r="AL29" s="637" t="s">
        <v>249</v>
      </c>
      <c r="AM29" s="637" t="s">
        <v>427</v>
      </c>
      <c r="AN29" s="637" t="s">
        <v>428</v>
      </c>
      <c r="AO29" s="637" t="s">
        <v>429</v>
      </c>
      <c r="AP29" s="637" t="s">
        <v>430</v>
      </c>
    </row>
    <row r="30" spans="1:42">
      <c r="A30" s="291"/>
      <c r="B30" s="137"/>
      <c r="C30" s="89" t="str">
        <f>IF(ISBLANK(B30),"",INDEX('Liste des aliments'!$B$6:$B$966,MATCH(B30,'Liste des aliments'!$C$6:$C$966,0)))</f>
        <v/>
      </c>
      <c r="D30" s="138"/>
      <c r="E30" s="139"/>
      <c r="F30" s="13" t="str">
        <f>IF(ISBLANK($B30)," ",VLOOKUP($B30,'Liste des aliments'!$C$6:$W$966,2,FALSE))</f>
        <v xml:space="preserve"> </v>
      </c>
      <c r="G30" s="14" t="str">
        <f t="shared" si="1"/>
        <v xml:space="preserve"> </v>
      </c>
      <c r="H30" s="12" t="str">
        <f>IF(ISBLANK($B30)," ",VLOOKUP($B30,'Liste des aliments'!$C$6:$W$966,3,FALSE))</f>
        <v xml:space="preserve"> </v>
      </c>
      <c r="I30" s="12" t="str">
        <f>IF(ISBLANK($B30)," ",VLOOKUP($B30,'Liste des aliments'!$C$6:$W$966,4,FALSE))</f>
        <v xml:space="preserve"> </v>
      </c>
      <c r="J30" s="12" t="str">
        <f>IF(ISBLANK($B30)," ",VLOOKUP($B30,'Liste des aliments'!$C$6:$W$966,5,FALSE))</f>
        <v xml:space="preserve"> </v>
      </c>
      <c r="K30" s="12" t="str">
        <f>IF(ISBLANK($B30)," ",VLOOKUP($B30,'Liste des aliments'!$C$6:$W$966,6,FALSE))</f>
        <v xml:space="preserve"> </v>
      </c>
      <c r="L30" s="14" t="str">
        <f>IF(ISBLANK($B30)," ",VLOOKUP($B30,'Liste des aliments'!$C$6:$W$966,7,FALSE))</f>
        <v xml:space="preserve"> </v>
      </c>
      <c r="M30" s="14" t="str">
        <f>IF(ISBLANK($B30)," ",VLOOKUP($B30,'Liste des aliments'!$C$6:$W$966,8,FALSE))</f>
        <v xml:space="preserve"> </v>
      </c>
      <c r="N30" s="12" t="str">
        <f>IF(ISBLANK($B30)," ",VLOOKUP($B30,'Liste des aliments'!$C$6:$W$966,9,FALSE))</f>
        <v xml:space="preserve"> </v>
      </c>
      <c r="O30" s="12" t="str">
        <f>IF(ISBLANK($B30)," ",VLOOKUP($B30,'Liste des aliments'!$C$6:$W$966,10,FALSE))</f>
        <v xml:space="preserve"> </v>
      </c>
      <c r="P30" s="12" t="str">
        <f>IF(ISBLANK($B30)," ",VLOOKUP($B30,'Liste des aliments'!$C$6:$W$966,11,FALSE))</f>
        <v xml:space="preserve"> </v>
      </c>
      <c r="Q30" s="13" t="str">
        <f>IF(ISBLANK($B30)," ",VLOOKUP($B30,'Liste des aliments'!$C$6:$W$966,12,FALSE))</f>
        <v xml:space="preserve"> </v>
      </c>
      <c r="R30" s="13" t="str">
        <f>IF(ISBLANK($B30)," ",VLOOKUP($B30,'Liste des aliments'!$C$6:$W$966,13,FALSE))</f>
        <v xml:space="preserve"> </v>
      </c>
      <c r="S30" s="12" t="str">
        <f>IF(ISBLANK($B30)," ",VLOOKUP($B30,'Liste des aliments'!$C$6:$W$966,14,FALSE))</f>
        <v xml:space="preserve"> </v>
      </c>
      <c r="T30" s="12" t="str">
        <f>IF(ISBLANK($B30)," ",VLOOKUP($B30,'Liste des aliments'!$C$6:$W$966,15,FALSE))</f>
        <v xml:space="preserve"> </v>
      </c>
      <c r="U30" s="12" t="str">
        <f>IF(ISBLANK($B30)," ",VLOOKUP($B30,'Liste des aliments'!$C$6:$W$966,16,FALSE))</f>
        <v xml:space="preserve"> </v>
      </c>
      <c r="V30" s="12" t="str">
        <f>IF(ISBLANK($B30)," ",VLOOKUP($B30,'Liste des aliments'!$C$6:$W$966,17,FALSE))</f>
        <v xml:space="preserve"> </v>
      </c>
      <c r="W30" s="12" t="str">
        <f>IF(ISBLANK($B30)," ",VLOOKUP($B30,'Liste des aliments'!$C$6:$W$966,18,FALSE))</f>
        <v xml:space="preserve"> </v>
      </c>
      <c r="X30" s="12" t="str">
        <f>IF(ISBLANK($B30)," ",VLOOKUP($B30,'Liste des aliments'!$C$6:$W$966,20,FALSE))</f>
        <v xml:space="preserve"> </v>
      </c>
      <c r="Y30" s="107"/>
      <c r="AF30" s="147">
        <v>1000</v>
      </c>
      <c r="AG30" s="147">
        <v>1000</v>
      </c>
      <c r="AH30" s="147">
        <v>1000</v>
      </c>
      <c r="AI30" s="147">
        <v>1000</v>
      </c>
      <c r="AJ30" s="147">
        <v>1000</v>
      </c>
      <c r="AK30" s="147">
        <v>1000</v>
      </c>
      <c r="AL30" s="147">
        <v>1000</v>
      </c>
      <c r="AM30" s="147">
        <v>1000</v>
      </c>
      <c r="AN30" s="147">
        <v>1000</v>
      </c>
      <c r="AO30" s="147">
        <v>1000</v>
      </c>
      <c r="AP30" s="147">
        <v>1000</v>
      </c>
    </row>
    <row r="31" spans="1:42">
      <c r="A31" s="291"/>
      <c r="B31" s="137"/>
      <c r="C31" s="89" t="str">
        <f>IF(ISBLANK(B31),"",INDEX('Liste des aliments'!$B$6:$B$966,MATCH(B31,'Liste des aliments'!$C$6:$C$966,0)))</f>
        <v/>
      </c>
      <c r="D31" s="138"/>
      <c r="E31" s="139"/>
      <c r="F31" s="13" t="str">
        <f>IF(ISBLANK($B31)," ",VLOOKUP($B31,'Liste des aliments'!$C$6:$W$966,2,FALSE))</f>
        <v xml:space="preserve"> </v>
      </c>
      <c r="G31" s="14" t="str">
        <f t="shared" si="1"/>
        <v xml:space="preserve"> </v>
      </c>
      <c r="H31" s="12" t="str">
        <f>IF(ISBLANK($B31)," ",VLOOKUP($B31,'Liste des aliments'!$C$6:$W$966,3,FALSE))</f>
        <v xml:space="preserve"> </v>
      </c>
      <c r="I31" s="12" t="str">
        <f>IF(ISBLANK($B31)," ",VLOOKUP($B31,'Liste des aliments'!$C$6:$W$966,4,FALSE))</f>
        <v xml:space="preserve"> </v>
      </c>
      <c r="J31" s="12" t="str">
        <f>IF(ISBLANK($B31)," ",VLOOKUP($B31,'Liste des aliments'!$C$6:$W$966,5,FALSE))</f>
        <v xml:space="preserve"> </v>
      </c>
      <c r="K31" s="12" t="str">
        <f>IF(ISBLANK($B31)," ",VLOOKUP($B31,'Liste des aliments'!$C$6:$W$966,6,FALSE))</f>
        <v xml:space="preserve"> </v>
      </c>
      <c r="L31" s="14" t="str">
        <f>IF(ISBLANK($B31)," ",VLOOKUP($B31,'Liste des aliments'!$C$6:$W$966,7,FALSE))</f>
        <v xml:space="preserve"> </v>
      </c>
      <c r="M31" s="14" t="str">
        <f>IF(ISBLANK($B31)," ",VLOOKUP($B31,'Liste des aliments'!$C$6:$W$966,8,FALSE))</f>
        <v xml:space="preserve"> </v>
      </c>
      <c r="N31" s="12" t="str">
        <f>IF(ISBLANK($B31)," ",VLOOKUP($B31,'Liste des aliments'!$C$6:$W$966,9,FALSE))</f>
        <v xml:space="preserve"> </v>
      </c>
      <c r="O31" s="12" t="str">
        <f>IF(ISBLANK($B31)," ",VLOOKUP($B31,'Liste des aliments'!$C$6:$W$966,10,FALSE))</f>
        <v xml:space="preserve"> </v>
      </c>
      <c r="P31" s="12" t="str">
        <f>IF(ISBLANK($B31)," ",VLOOKUP($B31,'Liste des aliments'!$C$6:$W$966,11,FALSE))</f>
        <v xml:space="preserve"> </v>
      </c>
      <c r="Q31" s="13" t="str">
        <f>IF(ISBLANK($B31)," ",VLOOKUP($B31,'Liste des aliments'!$C$6:$W$966,12,FALSE))</f>
        <v xml:space="preserve"> </v>
      </c>
      <c r="R31" s="13" t="str">
        <f>IF(ISBLANK($B31)," ",VLOOKUP($B31,'Liste des aliments'!$C$6:$W$966,13,FALSE))</f>
        <v xml:space="preserve"> </v>
      </c>
      <c r="S31" s="12" t="str">
        <f>IF(ISBLANK($B31)," ",VLOOKUP($B31,'Liste des aliments'!$C$6:$W$966,14,FALSE))</f>
        <v xml:space="preserve"> </v>
      </c>
      <c r="T31" s="12" t="str">
        <f>IF(ISBLANK($B31)," ",VLOOKUP($B31,'Liste des aliments'!$C$6:$W$966,15,FALSE))</f>
        <v xml:space="preserve"> </v>
      </c>
      <c r="U31" s="12" t="str">
        <f>IF(ISBLANK($B31)," ",VLOOKUP($B31,'Liste des aliments'!$C$6:$W$966,16,FALSE))</f>
        <v xml:space="preserve"> </v>
      </c>
      <c r="V31" s="12" t="str">
        <f>IF(ISBLANK($B31)," ",VLOOKUP($B31,'Liste des aliments'!$C$6:$W$966,17,FALSE))</f>
        <v xml:space="preserve"> </v>
      </c>
      <c r="W31" s="12" t="str">
        <f>IF(ISBLANK($B31)," ",VLOOKUP($B31,'Liste des aliments'!$C$6:$W$966,18,FALSE))</f>
        <v xml:space="preserve"> </v>
      </c>
      <c r="X31" s="12" t="str">
        <f>IF(ISBLANK($B31)," ",VLOOKUP($B31,'Liste des aliments'!$C$6:$W$966,20,FALSE))</f>
        <v xml:space="preserve"> </v>
      </c>
      <c r="Y31" s="107"/>
      <c r="AF31" s="147">
        <v>1200</v>
      </c>
      <c r="AG31" s="147">
        <v>1200</v>
      </c>
      <c r="AH31" s="147">
        <v>1200</v>
      </c>
      <c r="AI31" s="147">
        <v>1200</v>
      </c>
      <c r="AJ31" s="147">
        <v>1200</v>
      </c>
      <c r="AK31" s="147">
        <v>1200</v>
      </c>
      <c r="AL31" s="147">
        <v>1200</v>
      </c>
      <c r="AM31" s="147">
        <v>1200</v>
      </c>
      <c r="AN31" s="147">
        <v>1200</v>
      </c>
      <c r="AO31" s="147"/>
      <c r="AP31" s="147"/>
    </row>
    <row r="32" spans="1:42" ht="14.4" thickBot="1">
      <c r="A32" s="291"/>
      <c r="B32" s="142"/>
      <c r="C32" s="15" t="str">
        <f>IF(ISBLANK(B32),"",INDEX('Liste des aliments'!$B$6:$B$966,MATCH(B32,'Liste des aliments'!$C$6:$C$966,0)))</f>
        <v/>
      </c>
      <c r="D32" s="143"/>
      <c r="E32" s="144"/>
      <c r="F32" s="3" t="str">
        <f>IF(ISBLANK($B32)," ",VLOOKUP($B32,'Liste des aliments'!$C$6:$W$966,2,FALSE))</f>
        <v xml:space="preserve"> </v>
      </c>
      <c r="G32" s="10" t="str">
        <f t="shared" si="1"/>
        <v xml:space="preserve"> </v>
      </c>
      <c r="H32" s="4" t="str">
        <f>IF(ISBLANK($B32)," ",VLOOKUP($B32,'Liste des aliments'!$C$6:$W$966,3,FALSE))</f>
        <v xml:space="preserve"> </v>
      </c>
      <c r="I32" s="4" t="str">
        <f>IF(ISBLANK($B32)," ",VLOOKUP($B32,'Liste des aliments'!$C$6:$W$966,4,FALSE))</f>
        <v xml:space="preserve"> </v>
      </c>
      <c r="J32" s="4" t="str">
        <f>IF(ISBLANK($B32)," ",VLOOKUP($B32,'Liste des aliments'!$C$6:$W$966,5,FALSE))</f>
        <v xml:space="preserve"> </v>
      </c>
      <c r="K32" s="4" t="str">
        <f>IF(ISBLANK($B32)," ",VLOOKUP($B32,'Liste des aliments'!$C$6:$W$966,6,FALSE))</f>
        <v xml:space="preserve"> </v>
      </c>
      <c r="L32" s="10" t="str">
        <f>IF(ISBLANK($B32)," ",VLOOKUP($B32,'Liste des aliments'!$C$6:$W$966,7,FALSE))</f>
        <v xml:space="preserve"> </v>
      </c>
      <c r="M32" s="10" t="str">
        <f>IF(ISBLANK($B32)," ",VLOOKUP($B32,'Liste des aliments'!$C$6:$W$966,8,FALSE))</f>
        <v xml:space="preserve"> </v>
      </c>
      <c r="N32" s="4" t="str">
        <f>IF(ISBLANK($B32)," ",VLOOKUP($B32,'Liste des aliments'!$C$6:$W$966,9,FALSE))</f>
        <v xml:space="preserve"> </v>
      </c>
      <c r="O32" s="4" t="str">
        <f>IF(ISBLANK($B32)," ",VLOOKUP($B32,'Liste des aliments'!$C$6:$W$966,10,FALSE))</f>
        <v xml:space="preserve"> </v>
      </c>
      <c r="P32" s="4" t="str">
        <f>IF(ISBLANK($B32)," ",VLOOKUP($B32,'Liste des aliments'!$C$6:$W$966,11,FALSE))</f>
        <v xml:space="preserve"> </v>
      </c>
      <c r="Q32" s="3" t="str">
        <f>IF(ISBLANK($B32)," ",VLOOKUP($B32,'Liste des aliments'!$C$6:$W$966,12,FALSE))</f>
        <v xml:space="preserve"> </v>
      </c>
      <c r="R32" s="3" t="str">
        <f>IF(ISBLANK($B32)," ",VLOOKUP($B32,'Liste des aliments'!$C$6:$W$966,13,FALSE))</f>
        <v xml:space="preserve"> </v>
      </c>
      <c r="S32" s="4" t="str">
        <f>IF(ISBLANK($B32)," ",VLOOKUP($B32,'Liste des aliments'!$C$6:$W$966,14,FALSE))</f>
        <v xml:space="preserve"> </v>
      </c>
      <c r="T32" s="4" t="str">
        <f>IF(ISBLANK($B32)," ",VLOOKUP($B32,'Liste des aliments'!$C$6:$W$966,15,FALSE))</f>
        <v xml:space="preserve"> </v>
      </c>
      <c r="U32" s="4" t="str">
        <f>IF(ISBLANK($B32)," ",VLOOKUP($B32,'Liste des aliments'!$C$6:$W$966,16,FALSE))</f>
        <v xml:space="preserve"> </v>
      </c>
      <c r="V32" s="4" t="str">
        <f>IF(ISBLANK($B32)," ",VLOOKUP($B32,'Liste des aliments'!$C$6:$W$966,17,FALSE))</f>
        <v xml:space="preserve"> </v>
      </c>
      <c r="W32" s="4" t="str">
        <f>IF(ISBLANK($B32)," ",VLOOKUP($B32,'Liste des aliments'!$C$6:$W$966,18,FALSE))</f>
        <v xml:space="preserve"> </v>
      </c>
      <c r="X32" s="4" t="str">
        <f>IF(ISBLANK($B32)," ",VLOOKUP($B32,'Liste des aliments'!$C$6:$W$966,20,FALSE))</f>
        <v xml:space="preserve"> </v>
      </c>
      <c r="Y32" s="108"/>
      <c r="AF32" s="147">
        <v>1400</v>
      </c>
      <c r="AG32" s="147">
        <v>1400</v>
      </c>
      <c r="AH32" s="147">
        <v>1400</v>
      </c>
      <c r="AI32" s="147">
        <v>1400</v>
      </c>
      <c r="AJ32" s="147">
        <v>1400</v>
      </c>
      <c r="AK32" s="147">
        <v>1400</v>
      </c>
      <c r="AL32" s="147">
        <v>1400</v>
      </c>
      <c r="AM32" s="147">
        <v>1400</v>
      </c>
      <c r="AN32" s="147"/>
      <c r="AO32" s="147"/>
      <c r="AP32" s="147"/>
    </row>
    <row r="33" spans="2:44">
      <c r="G33" s="109" t="str">
        <f t="shared" ref="G33" si="2">IF($A33&gt;0,(D33*E33/100)," ")</f>
        <v xml:space="preserve"> </v>
      </c>
      <c r="AF33" s="147"/>
      <c r="AG33" s="147">
        <v>1600</v>
      </c>
      <c r="AH33" s="147">
        <v>1600</v>
      </c>
      <c r="AI33" s="147">
        <v>1600</v>
      </c>
      <c r="AJ33" s="147">
        <v>1600</v>
      </c>
      <c r="AK33" s="147">
        <v>1600</v>
      </c>
      <c r="AL33" s="147"/>
      <c r="AM33" s="147"/>
      <c r="AN33" s="147"/>
      <c r="AO33" s="147"/>
      <c r="AP33" s="147" t="s">
        <v>423</v>
      </c>
    </row>
    <row r="34" spans="2:44" ht="16.2" thickBot="1">
      <c r="B34" s="11" t="s">
        <v>195</v>
      </c>
      <c r="C34" s="1"/>
      <c r="D34" s="1"/>
      <c r="E34" s="1"/>
      <c r="F34" s="1"/>
      <c r="G34" s="1"/>
      <c r="H34" s="1"/>
      <c r="I34" s="1"/>
      <c r="J34" s="1"/>
      <c r="K34" s="1"/>
      <c r="L34" s="1"/>
      <c r="M34" s="1"/>
      <c r="N34" s="1"/>
      <c r="O34" s="1"/>
      <c r="P34" s="1"/>
      <c r="Q34" s="1"/>
      <c r="R34" s="1"/>
      <c r="S34" s="1"/>
      <c r="T34" s="776" t="s">
        <v>196</v>
      </c>
      <c r="U34" s="776"/>
      <c r="V34" s="776"/>
      <c r="W34" s="776"/>
      <c r="X34" s="43"/>
      <c r="Y34" s="1"/>
    </row>
    <row r="35" spans="2:44" ht="14.4" thickBot="1">
      <c r="B35" s="2"/>
      <c r="C35" s="1"/>
      <c r="D35" s="59" t="s">
        <v>188</v>
      </c>
      <c r="E35" s="60" t="s">
        <v>197</v>
      </c>
      <c r="F35" s="60"/>
      <c r="G35" s="60" t="s">
        <v>191</v>
      </c>
      <c r="H35" s="60" t="s">
        <v>42</v>
      </c>
      <c r="I35" s="60" t="s">
        <v>43</v>
      </c>
      <c r="J35" s="60" t="s">
        <v>44</v>
      </c>
      <c r="K35" s="60" t="s">
        <v>45</v>
      </c>
      <c r="L35" s="60" t="s">
        <v>46</v>
      </c>
      <c r="M35" s="60" t="s">
        <v>47</v>
      </c>
      <c r="N35" s="60" t="s">
        <v>48</v>
      </c>
      <c r="O35" s="60" t="s">
        <v>49</v>
      </c>
      <c r="P35" s="60" t="s">
        <v>50</v>
      </c>
      <c r="Q35" s="60" t="s">
        <v>51</v>
      </c>
      <c r="R35" s="60" t="s">
        <v>52</v>
      </c>
      <c r="S35" s="60" t="s">
        <v>192</v>
      </c>
      <c r="T35" s="61" t="s">
        <v>54</v>
      </c>
      <c r="U35" s="61" t="s">
        <v>198</v>
      </c>
      <c r="V35" s="61" t="s">
        <v>56</v>
      </c>
      <c r="W35" s="61" t="s">
        <v>57</v>
      </c>
      <c r="X35" s="61" t="s">
        <v>59</v>
      </c>
      <c r="Y35" s="62" t="s">
        <v>194</v>
      </c>
      <c r="AF35" s="109" t="s">
        <v>431</v>
      </c>
      <c r="AJ35" s="147">
        <v>2</v>
      </c>
      <c r="AK35" s="147">
        <v>3</v>
      </c>
      <c r="AL35" s="147">
        <v>4</v>
      </c>
      <c r="AM35" s="147">
        <v>5</v>
      </c>
      <c r="AN35" s="147">
        <v>6</v>
      </c>
      <c r="AO35" s="147">
        <v>7</v>
      </c>
      <c r="AP35" s="147">
        <v>8</v>
      </c>
    </row>
    <row r="36" spans="2:44" ht="18" customHeight="1">
      <c r="B36" s="93" t="s">
        <v>199</v>
      </c>
      <c r="C36" s="94"/>
      <c r="D36" s="63">
        <f>SUM(D17:D32)</f>
        <v>0</v>
      </c>
      <c r="E36" s="248" t="e">
        <f>G36/D36*100</f>
        <v>#DIV/0!</v>
      </c>
      <c r="F36" s="16"/>
      <c r="G36" s="56">
        <f>SUM(G17:G32)</f>
        <v>0</v>
      </c>
      <c r="H36" s="57">
        <f>H90</f>
        <v>0</v>
      </c>
      <c r="I36" s="57">
        <f>I90</f>
        <v>0</v>
      </c>
      <c r="J36" s="57">
        <f>J90</f>
        <v>0</v>
      </c>
      <c r="K36" s="57">
        <f t="shared" ref="K36:Y36" si="3">K90</f>
        <v>0</v>
      </c>
      <c r="L36" s="58">
        <f>L90</f>
        <v>0</v>
      </c>
      <c r="M36" s="58">
        <f t="shared" si="3"/>
        <v>0</v>
      </c>
      <c r="N36" s="57">
        <f t="shared" si="3"/>
        <v>0</v>
      </c>
      <c r="O36" s="57">
        <f t="shared" si="3"/>
        <v>0</v>
      </c>
      <c r="P36" s="57">
        <f t="shared" si="3"/>
        <v>0</v>
      </c>
      <c r="Q36" s="56">
        <f t="shared" si="3"/>
        <v>0</v>
      </c>
      <c r="R36" s="56">
        <f t="shared" si="3"/>
        <v>0</v>
      </c>
      <c r="S36" s="57">
        <f t="shared" si="3"/>
        <v>0</v>
      </c>
      <c r="T36" s="76">
        <f t="shared" si="3"/>
        <v>0</v>
      </c>
      <c r="U36" s="76">
        <f t="shared" si="3"/>
        <v>0</v>
      </c>
      <c r="V36" s="76">
        <f t="shared" si="3"/>
        <v>0</v>
      </c>
      <c r="W36" s="76">
        <f t="shared" si="3"/>
        <v>0</v>
      </c>
      <c r="X36" s="76">
        <f t="shared" si="3"/>
        <v>0</v>
      </c>
      <c r="Y36" s="249">
        <f t="shared" si="3"/>
        <v>0</v>
      </c>
      <c r="AE36" s="147" t="s">
        <v>432</v>
      </c>
      <c r="AF36" s="640" t="s">
        <v>187</v>
      </c>
      <c r="AG36" s="640" t="s">
        <v>311</v>
      </c>
      <c r="AH36" s="640" t="s">
        <v>266</v>
      </c>
      <c r="AI36" s="641" t="s">
        <v>433</v>
      </c>
      <c r="AJ36" s="637" t="s">
        <v>434</v>
      </c>
      <c r="AK36" s="637" t="s">
        <v>43</v>
      </c>
      <c r="AL36" s="637" t="s">
        <v>44</v>
      </c>
      <c r="AM36" s="637" t="s">
        <v>47</v>
      </c>
      <c r="AN36" s="637" t="s">
        <v>217</v>
      </c>
      <c r="AO36" s="637" t="s">
        <v>51</v>
      </c>
      <c r="AP36" s="637" t="s">
        <v>211</v>
      </c>
    </row>
    <row r="37" spans="2:44" ht="18" customHeight="1">
      <c r="B37" s="95" t="s">
        <v>200</v>
      </c>
      <c r="C37" s="96"/>
      <c r="D37" s="44"/>
      <c r="E37" s="44"/>
      <c r="F37" s="44"/>
      <c r="G37" s="56">
        <v>1</v>
      </c>
      <c r="H37" s="57" t="e">
        <f t="shared" ref="H37:Y37" si="4">H36/$G$36</f>
        <v>#DIV/0!</v>
      </c>
      <c r="I37" s="57" t="e">
        <f t="shared" si="4"/>
        <v>#DIV/0!</v>
      </c>
      <c r="J37" s="57" t="e">
        <f t="shared" si="4"/>
        <v>#DIV/0!</v>
      </c>
      <c r="K37" s="57" t="e">
        <f t="shared" si="4"/>
        <v>#DIV/0!</v>
      </c>
      <c r="L37" s="58" t="e">
        <f t="shared" si="4"/>
        <v>#DIV/0!</v>
      </c>
      <c r="M37" s="58" t="e">
        <f t="shared" si="4"/>
        <v>#DIV/0!</v>
      </c>
      <c r="N37" s="57" t="e">
        <f t="shared" si="4"/>
        <v>#DIV/0!</v>
      </c>
      <c r="O37" s="57" t="e">
        <f t="shared" si="4"/>
        <v>#DIV/0!</v>
      </c>
      <c r="P37" s="57" t="e">
        <f t="shared" si="4"/>
        <v>#DIV/0!</v>
      </c>
      <c r="Q37" s="56" t="e">
        <f t="shared" si="4"/>
        <v>#DIV/0!</v>
      </c>
      <c r="R37" s="56" t="e">
        <f t="shared" si="4"/>
        <v>#DIV/0!</v>
      </c>
      <c r="S37" s="57" t="e">
        <f t="shared" si="4"/>
        <v>#DIV/0!</v>
      </c>
      <c r="T37" s="75" t="e">
        <f t="shared" si="4"/>
        <v>#DIV/0!</v>
      </c>
      <c r="U37" s="75" t="e">
        <f t="shared" si="4"/>
        <v>#DIV/0!</v>
      </c>
      <c r="V37" s="75" t="e">
        <f t="shared" si="4"/>
        <v>#DIV/0!</v>
      </c>
      <c r="W37" s="75" t="e">
        <f t="shared" si="4"/>
        <v>#DIV/0!</v>
      </c>
      <c r="X37" s="75" t="e">
        <f t="shared" si="4"/>
        <v>#DIV/0!</v>
      </c>
      <c r="Y37" s="453" t="e">
        <f t="shared" si="4"/>
        <v>#DIV/0!</v>
      </c>
      <c r="AE37" s="111" t="e" cm="1">
        <f t="array" ref="AE37">_xlfn.IFS(D10=AI20,AJ20,D10=AI21,AJ21,D10=AI22,AJ22,D10=AI23,AJ23)</f>
        <v>#N/A</v>
      </c>
      <c r="AF37" s="109" t="s">
        <v>298</v>
      </c>
      <c r="AG37" s="109">
        <v>250</v>
      </c>
      <c r="AH37" s="109">
        <v>1000</v>
      </c>
      <c r="AI37" s="642" t="str">
        <f>_xlfn.CONCAT(AF37,AG37,AH37)</f>
        <v>a2501000</v>
      </c>
      <c r="AJ37" s="109">
        <v>6</v>
      </c>
      <c r="AK37" s="109">
        <v>4900</v>
      </c>
      <c r="AL37" s="109">
        <v>340</v>
      </c>
      <c r="AM37" s="109">
        <v>4.4000000000000004</v>
      </c>
      <c r="AN37" s="109">
        <v>465</v>
      </c>
      <c r="AO37" s="161">
        <v>42</v>
      </c>
      <c r="AP37" s="161">
        <v>20.923076923076923</v>
      </c>
      <c r="AQ37" s="161"/>
      <c r="AR37" s="161"/>
    </row>
    <row r="38" spans="2:44" ht="18" customHeight="1" thickBot="1">
      <c r="B38" s="97" t="s">
        <v>260</v>
      </c>
      <c r="C38" s="98"/>
      <c r="D38" s="17"/>
      <c r="E38" s="17"/>
      <c r="F38" s="17"/>
      <c r="G38" s="454" t="e">
        <f>G36/H10</f>
        <v>#DIV/0!</v>
      </c>
      <c r="H38" s="454" t="e">
        <f>H36/I10</f>
        <v>#DIV/0!</v>
      </c>
      <c r="I38" s="454" t="e">
        <f>I36/J10</f>
        <v>#DIV/0!</v>
      </c>
      <c r="J38" s="454" t="e">
        <f>J36/K10</f>
        <v>#DIV/0!</v>
      </c>
      <c r="K38" s="455"/>
      <c r="L38" s="454" t="e">
        <f>L36/O10</f>
        <v>#DIV/0!</v>
      </c>
      <c r="M38" s="454" t="e">
        <f>M36/P10</f>
        <v>#DIV/0!</v>
      </c>
      <c r="N38" s="454" t="e">
        <f t="shared" ref="N38:O38" si="5">N36/Q10</f>
        <v>#DIV/0!</v>
      </c>
      <c r="O38" s="454" t="e">
        <f t="shared" si="5"/>
        <v>#DIV/0!</v>
      </c>
      <c r="P38" s="455"/>
      <c r="Q38" s="454" t="e">
        <f>Q36/M10</f>
        <v>#DIV/0!</v>
      </c>
      <c r="R38" s="454" t="e">
        <f>R36/N10</f>
        <v>#DIV/0!</v>
      </c>
      <c r="S38" s="17"/>
      <c r="T38" s="17"/>
      <c r="U38" s="17"/>
      <c r="V38" s="17"/>
      <c r="W38" s="17"/>
      <c r="X38" s="17"/>
      <c r="Y38" s="74"/>
      <c r="AE38" s="111" t="e">
        <f>_xlfn.CONCAT(AE37,D11,D12)</f>
        <v>#N/A</v>
      </c>
      <c r="AF38" s="109" t="s">
        <v>298</v>
      </c>
      <c r="AG38" s="109">
        <v>250</v>
      </c>
      <c r="AH38" s="109">
        <v>1200</v>
      </c>
      <c r="AI38" s="642" t="str">
        <f t="shared" ref="AI38:AI101" si="6">_xlfn.CONCAT(AF38,AG38,AH38)</f>
        <v>a2501200</v>
      </c>
      <c r="AJ38" s="109">
        <v>6</v>
      </c>
      <c r="AK38" s="109">
        <v>5400</v>
      </c>
      <c r="AL38" s="109">
        <v>385</v>
      </c>
      <c r="AM38" s="109">
        <v>4.9000000000000004</v>
      </c>
      <c r="AN38" s="109">
        <v>508</v>
      </c>
      <c r="AO38" s="161">
        <v>48.499999999999993</v>
      </c>
      <c r="AP38" s="161">
        <v>23.23076923076923</v>
      </c>
      <c r="AQ38" s="161"/>
      <c r="AR38" s="161"/>
    </row>
    <row r="39" spans="2:44">
      <c r="P39" s="150"/>
      <c r="Q39" s="150"/>
      <c r="S39" s="148"/>
      <c r="T39" s="149"/>
      <c r="U39" s="149"/>
      <c r="V39" s="149"/>
      <c r="W39" s="149"/>
      <c r="X39" s="149"/>
      <c r="AF39" s="109" t="s">
        <v>298</v>
      </c>
      <c r="AG39" s="109">
        <v>250</v>
      </c>
      <c r="AH39" s="109">
        <v>1400</v>
      </c>
      <c r="AI39" s="642" t="str">
        <f t="shared" si="6"/>
        <v>a2501400</v>
      </c>
      <c r="AJ39" s="109">
        <v>6</v>
      </c>
      <c r="AK39" s="109">
        <v>5950</v>
      </c>
      <c r="AL39" s="109">
        <v>425</v>
      </c>
      <c r="AM39" s="109">
        <v>5.4</v>
      </c>
      <c r="AN39" s="109">
        <v>548</v>
      </c>
      <c r="AO39" s="161">
        <v>55</v>
      </c>
      <c r="AP39" s="161">
        <v>25.53846153846154</v>
      </c>
      <c r="AQ39" s="161"/>
      <c r="AR39" s="161"/>
    </row>
    <row r="40" spans="2:44">
      <c r="S40" s="151" t="s">
        <v>203</v>
      </c>
      <c r="T40" s="152">
        <v>150</v>
      </c>
      <c r="U40" s="152">
        <v>155</v>
      </c>
      <c r="V40" s="152">
        <v>300</v>
      </c>
      <c r="W40" s="153">
        <v>180</v>
      </c>
      <c r="X40" s="154"/>
      <c r="AF40" s="109" t="s">
        <v>298</v>
      </c>
      <c r="AG40" s="109">
        <v>300</v>
      </c>
      <c r="AH40" s="109">
        <v>1000</v>
      </c>
      <c r="AI40" s="642" t="str">
        <f t="shared" si="6"/>
        <v>a3001000</v>
      </c>
      <c r="AJ40" s="109">
        <v>6.7</v>
      </c>
      <c r="AK40" s="109">
        <v>5500</v>
      </c>
      <c r="AL40" s="109">
        <v>360</v>
      </c>
      <c r="AM40" s="109">
        <v>5</v>
      </c>
      <c r="AN40" s="109">
        <v>504</v>
      </c>
      <c r="AO40" s="161">
        <v>42.5</v>
      </c>
      <c r="AP40" s="161">
        <v>22.46153846153846</v>
      </c>
      <c r="AQ40" s="161"/>
      <c r="AR40" s="161"/>
    </row>
    <row r="41" spans="2:44">
      <c r="M41" s="303"/>
      <c r="S41" s="157" t="s">
        <v>204</v>
      </c>
      <c r="T41" s="158">
        <v>300</v>
      </c>
      <c r="U41" s="158"/>
      <c r="V41" s="158"/>
      <c r="W41" s="159"/>
      <c r="X41" s="160">
        <v>60</v>
      </c>
      <c r="AF41" s="109" t="s">
        <v>298</v>
      </c>
      <c r="AG41" s="109">
        <v>300</v>
      </c>
      <c r="AH41" s="109">
        <v>1200</v>
      </c>
      <c r="AI41" s="642" t="str">
        <f t="shared" si="6"/>
        <v>a3001200</v>
      </c>
      <c r="AJ41" s="109">
        <v>6.7</v>
      </c>
      <c r="AK41" s="109">
        <v>6050</v>
      </c>
      <c r="AL41" s="109">
        <v>405</v>
      </c>
      <c r="AM41" s="109">
        <v>5.5</v>
      </c>
      <c r="AN41" s="109">
        <v>545</v>
      </c>
      <c r="AO41" s="161">
        <v>48.75</v>
      </c>
      <c r="AP41" s="161">
        <v>24.76923076923077</v>
      </c>
      <c r="AQ41" s="161"/>
      <c r="AR41" s="161"/>
    </row>
    <row r="42" spans="2:44">
      <c r="AF42" s="109" t="s">
        <v>298</v>
      </c>
      <c r="AG42" s="109">
        <v>300</v>
      </c>
      <c r="AH42" s="109">
        <v>1400</v>
      </c>
      <c r="AI42" s="642" t="str">
        <f t="shared" si="6"/>
        <v>a3001400</v>
      </c>
      <c r="AJ42" s="109">
        <v>6.7</v>
      </c>
      <c r="AK42" s="109">
        <v>6700</v>
      </c>
      <c r="AL42" s="109">
        <v>445</v>
      </c>
      <c r="AM42" s="109">
        <v>6.1</v>
      </c>
      <c r="AN42" s="109">
        <v>583</v>
      </c>
      <c r="AO42" s="161">
        <v>55</v>
      </c>
      <c r="AP42" s="161">
        <v>26.923076923076923</v>
      </c>
      <c r="AQ42" s="161"/>
      <c r="AR42" s="161"/>
    </row>
    <row r="43" spans="2:44">
      <c r="AF43" s="109" t="s">
        <v>298</v>
      </c>
      <c r="AG43" s="109">
        <v>300</v>
      </c>
      <c r="AH43" s="109">
        <v>1600</v>
      </c>
      <c r="AI43" s="642" t="str">
        <f t="shared" si="6"/>
        <v>a3001600</v>
      </c>
      <c r="AJ43" s="109">
        <v>6.7</v>
      </c>
      <c r="AK43" s="109">
        <v>7350</v>
      </c>
      <c r="AL43" s="109">
        <v>480</v>
      </c>
      <c r="AM43" s="109">
        <v>6.7</v>
      </c>
      <c r="AN43" s="109">
        <v>618</v>
      </c>
      <c r="AO43" s="161">
        <v>61.25</v>
      </c>
      <c r="AP43" s="161">
        <v>29.076923076923073</v>
      </c>
      <c r="AQ43" s="161"/>
      <c r="AR43" s="161"/>
    </row>
    <row r="44" spans="2:44">
      <c r="T44" s="145"/>
      <c r="U44" s="147"/>
      <c r="AF44" s="109" t="s">
        <v>298</v>
      </c>
      <c r="AG44" s="109">
        <v>350</v>
      </c>
      <c r="AH44" s="109">
        <v>1000</v>
      </c>
      <c r="AI44" s="642" t="str">
        <f t="shared" si="6"/>
        <v>a3501000</v>
      </c>
      <c r="AJ44" s="109">
        <v>7.4</v>
      </c>
      <c r="AK44" s="109">
        <v>6100</v>
      </c>
      <c r="AL44" s="109">
        <v>380</v>
      </c>
      <c r="AM44" s="109">
        <v>5.5</v>
      </c>
      <c r="AN44" s="109">
        <v>541</v>
      </c>
      <c r="AO44" s="161">
        <v>43.499999999999993</v>
      </c>
      <c r="AP44" s="161">
        <v>24.153846153846153</v>
      </c>
      <c r="AQ44" s="161"/>
      <c r="AR44" s="161"/>
    </row>
    <row r="45" spans="2:44">
      <c r="U45" s="147"/>
      <c r="AF45" s="109" t="s">
        <v>298</v>
      </c>
      <c r="AG45" s="109">
        <v>350</v>
      </c>
      <c r="AH45" s="109">
        <v>1200</v>
      </c>
      <c r="AI45" s="642" t="str">
        <f t="shared" si="6"/>
        <v>a3501200</v>
      </c>
      <c r="AJ45" s="109">
        <v>7.4</v>
      </c>
      <c r="AK45" s="109">
        <v>6750</v>
      </c>
      <c r="AL45" s="109">
        <v>420</v>
      </c>
      <c r="AM45" s="109">
        <v>6.1</v>
      </c>
      <c r="AN45" s="109">
        <v>581</v>
      </c>
      <c r="AO45" s="161">
        <v>49.5</v>
      </c>
      <c r="AP45" s="161">
        <v>26.30769230769231</v>
      </c>
      <c r="AQ45" s="161"/>
      <c r="AR45" s="161"/>
    </row>
    <row r="46" spans="2:44">
      <c r="AF46" s="109" t="s">
        <v>298</v>
      </c>
      <c r="AG46" s="109">
        <v>350</v>
      </c>
      <c r="AH46" s="109">
        <v>1400</v>
      </c>
      <c r="AI46" s="642" t="str">
        <f t="shared" si="6"/>
        <v>a3501400</v>
      </c>
      <c r="AJ46" s="109">
        <v>7.4</v>
      </c>
      <c r="AK46" s="109">
        <v>7450</v>
      </c>
      <c r="AL46" s="109">
        <v>460</v>
      </c>
      <c r="AM46" s="109">
        <v>6.7</v>
      </c>
      <c r="AN46" s="109">
        <v>616</v>
      </c>
      <c r="AO46" s="161">
        <v>55.499999999999993</v>
      </c>
      <c r="AP46" s="161">
        <v>28.46153846153846</v>
      </c>
      <c r="AQ46" s="161"/>
      <c r="AR46" s="161"/>
    </row>
    <row r="47" spans="2:44">
      <c r="AF47" s="109" t="s">
        <v>298</v>
      </c>
      <c r="AG47" s="109">
        <v>350</v>
      </c>
      <c r="AH47" s="109">
        <v>1600</v>
      </c>
      <c r="AI47" s="642" t="str">
        <f t="shared" si="6"/>
        <v>a3501600</v>
      </c>
      <c r="AJ47" s="109">
        <v>7.4</v>
      </c>
      <c r="AK47" s="109">
        <v>8200</v>
      </c>
      <c r="AL47" s="109">
        <v>490</v>
      </c>
      <c r="AM47" s="109">
        <v>7.4</v>
      </c>
      <c r="AN47" s="109">
        <v>646</v>
      </c>
      <c r="AO47" s="161">
        <v>61.5</v>
      </c>
      <c r="AP47" s="161">
        <v>30.46153846153846</v>
      </c>
      <c r="AQ47" s="161"/>
      <c r="AR47" s="161"/>
    </row>
    <row r="48" spans="2:44">
      <c r="AF48" s="109" t="s">
        <v>298</v>
      </c>
      <c r="AG48" s="109">
        <v>400</v>
      </c>
      <c r="AH48" s="109">
        <v>1000</v>
      </c>
      <c r="AI48" s="642" t="str">
        <f t="shared" si="6"/>
        <v>a4001000</v>
      </c>
      <c r="AJ48" s="109">
        <v>8</v>
      </c>
      <c r="AK48" s="109">
        <v>6700</v>
      </c>
      <c r="AL48" s="109">
        <v>405</v>
      </c>
      <c r="AM48" s="109">
        <v>6.1</v>
      </c>
      <c r="AN48" s="109">
        <v>577</v>
      </c>
      <c r="AO48" s="161">
        <v>44.5</v>
      </c>
      <c r="AP48" s="161">
        <v>25.846153846153847</v>
      </c>
      <c r="AQ48" s="161"/>
      <c r="AR48" s="161"/>
    </row>
    <row r="49" spans="1:44">
      <c r="AF49" s="109" t="s">
        <v>298</v>
      </c>
      <c r="AG49" s="109">
        <v>400</v>
      </c>
      <c r="AH49" s="109">
        <v>1200</v>
      </c>
      <c r="AI49" s="642" t="str">
        <f t="shared" si="6"/>
        <v>a4001200</v>
      </c>
      <c r="AJ49" s="109">
        <v>8</v>
      </c>
      <c r="AK49" s="109">
        <v>7450</v>
      </c>
      <c r="AL49" s="109">
        <v>445</v>
      </c>
      <c r="AM49" s="109">
        <v>6.7</v>
      </c>
      <c r="AN49" s="109">
        <v>613</v>
      </c>
      <c r="AO49" s="161">
        <v>50.25</v>
      </c>
      <c r="AP49" s="161">
        <v>27.846153846153847</v>
      </c>
      <c r="AQ49" s="161"/>
      <c r="AR49" s="161"/>
    </row>
    <row r="50" spans="1:44">
      <c r="AF50" s="109" t="s">
        <v>298</v>
      </c>
      <c r="AG50" s="109">
        <v>400</v>
      </c>
      <c r="AH50" s="109">
        <v>1400</v>
      </c>
      <c r="AI50" s="642" t="str">
        <f t="shared" si="6"/>
        <v>a4001400</v>
      </c>
      <c r="AJ50" s="109">
        <v>8</v>
      </c>
      <c r="AK50" s="109">
        <v>8200</v>
      </c>
      <c r="AL50" s="109">
        <v>475</v>
      </c>
      <c r="AM50" s="109">
        <v>7.4</v>
      </c>
      <c r="AN50" s="109">
        <v>644</v>
      </c>
      <c r="AO50" s="161">
        <v>56.25</v>
      </c>
      <c r="AP50" s="161">
        <v>30</v>
      </c>
      <c r="AQ50" s="161"/>
      <c r="AR50" s="161"/>
    </row>
    <row r="51" spans="1:44">
      <c r="AF51" s="109" t="s">
        <v>298</v>
      </c>
      <c r="AG51" s="109">
        <v>400</v>
      </c>
      <c r="AH51" s="109">
        <v>1600</v>
      </c>
      <c r="AI51" s="642" t="str">
        <f t="shared" si="6"/>
        <v>a4001600</v>
      </c>
      <c r="AJ51" s="109">
        <v>8</v>
      </c>
      <c r="AK51" s="109">
        <v>9050</v>
      </c>
      <c r="AL51" s="109">
        <v>505</v>
      </c>
      <c r="AM51" s="109">
        <v>8.1999999999999993</v>
      </c>
      <c r="AN51" s="109">
        <v>669</v>
      </c>
      <c r="AO51" s="161">
        <v>62</v>
      </c>
      <c r="AP51" s="161">
        <v>32</v>
      </c>
      <c r="AQ51" s="161"/>
      <c r="AR51" s="161"/>
    </row>
    <row r="52" spans="1:44">
      <c r="AF52" s="109" t="s">
        <v>298</v>
      </c>
      <c r="AG52" s="109">
        <v>450</v>
      </c>
      <c r="AH52" s="109">
        <v>1000</v>
      </c>
      <c r="AI52" s="642" t="str">
        <f t="shared" si="6"/>
        <v>a4501000</v>
      </c>
      <c r="AJ52" s="109">
        <v>8.6</v>
      </c>
      <c r="AK52" s="109">
        <v>7350</v>
      </c>
      <c r="AL52" s="109">
        <v>430</v>
      </c>
      <c r="AM52" s="109">
        <v>6.7</v>
      </c>
      <c r="AN52" s="109">
        <v>611</v>
      </c>
      <c r="AO52" s="161">
        <v>45.499999999999993</v>
      </c>
      <c r="AP52" s="161">
        <v>27.538461538461537</v>
      </c>
      <c r="AQ52" s="161"/>
      <c r="AR52" s="161"/>
    </row>
    <row r="53" spans="1:44">
      <c r="AF53" s="109" t="s">
        <v>298</v>
      </c>
      <c r="AG53" s="109">
        <v>450</v>
      </c>
      <c r="AH53" s="109">
        <v>1200</v>
      </c>
      <c r="AI53" s="642" t="str">
        <f t="shared" si="6"/>
        <v>a4501200</v>
      </c>
      <c r="AJ53" s="109">
        <v>8.6</v>
      </c>
      <c r="AK53" s="109">
        <v>8150</v>
      </c>
      <c r="AL53" s="109">
        <v>470</v>
      </c>
      <c r="AM53" s="109">
        <v>7.4</v>
      </c>
      <c r="AN53" s="109">
        <v>643</v>
      </c>
      <c r="AO53" s="161">
        <v>51.25</v>
      </c>
      <c r="AP53" s="161">
        <v>29.538461538461537</v>
      </c>
      <c r="AQ53" s="161"/>
      <c r="AR53" s="161"/>
    </row>
    <row r="54" spans="1:44">
      <c r="AF54" s="109" t="s">
        <v>298</v>
      </c>
      <c r="AG54" s="109">
        <v>450</v>
      </c>
      <c r="AH54" s="109">
        <v>1400</v>
      </c>
      <c r="AI54" s="642" t="str">
        <f t="shared" si="6"/>
        <v>a4501400</v>
      </c>
      <c r="AJ54" s="109">
        <v>8.6</v>
      </c>
      <c r="AK54" s="109">
        <v>8600</v>
      </c>
      <c r="AL54" s="109">
        <v>485</v>
      </c>
      <c r="AM54" s="109">
        <v>8.1999999999999993</v>
      </c>
      <c r="AN54" s="109">
        <v>666</v>
      </c>
      <c r="AO54" s="161">
        <v>57</v>
      </c>
      <c r="AP54" s="161">
        <v>31.538461538461537</v>
      </c>
      <c r="AQ54" s="161"/>
      <c r="AR54" s="161"/>
    </row>
    <row r="55" spans="1:44">
      <c r="AF55" s="109" t="s">
        <v>298</v>
      </c>
      <c r="AG55" s="109">
        <v>450</v>
      </c>
      <c r="AH55" s="109">
        <v>1600</v>
      </c>
      <c r="AI55" s="642" t="str">
        <f t="shared" si="6"/>
        <v>a4501600</v>
      </c>
      <c r="AJ55" s="109" t="s">
        <v>435</v>
      </c>
      <c r="AO55" s="161">
        <v>62.75</v>
      </c>
      <c r="AP55" s="161">
        <v>33.692307692307686</v>
      </c>
      <c r="AQ55" s="161"/>
      <c r="AR55" s="161"/>
    </row>
    <row r="56" spans="1:44">
      <c r="AF56" s="109" t="s">
        <v>298</v>
      </c>
      <c r="AG56" s="109">
        <v>500</v>
      </c>
      <c r="AH56" s="109">
        <v>1000</v>
      </c>
      <c r="AI56" s="642" t="str">
        <f t="shared" si="6"/>
        <v>a5001000</v>
      </c>
      <c r="AJ56" s="109">
        <v>9.1</v>
      </c>
      <c r="AK56" s="109">
        <v>8050</v>
      </c>
      <c r="AL56" s="109">
        <v>465</v>
      </c>
      <c r="AM56" s="109">
        <v>7.3</v>
      </c>
      <c r="AN56" s="109">
        <v>644</v>
      </c>
      <c r="AO56" s="161">
        <v>46.749999999999993</v>
      </c>
      <c r="AP56" s="161">
        <v>29.23076923076923</v>
      </c>
      <c r="AQ56" s="161"/>
      <c r="AR56" s="161"/>
    </row>
    <row r="57" spans="1:44">
      <c r="AF57" s="109" t="s">
        <v>298</v>
      </c>
      <c r="AG57" s="109">
        <v>500</v>
      </c>
      <c r="AH57" s="109">
        <v>1200</v>
      </c>
      <c r="AI57" s="642" t="str">
        <f t="shared" si="6"/>
        <v>a5001200</v>
      </c>
      <c r="AJ57" s="109">
        <v>9.1</v>
      </c>
      <c r="AK57" s="109">
        <v>8950</v>
      </c>
      <c r="AL57" s="109">
        <v>490</v>
      </c>
      <c r="AM57" s="109">
        <v>8.1</v>
      </c>
      <c r="AN57" s="109">
        <v>667</v>
      </c>
      <c r="AO57" s="161">
        <v>52.249999999999993</v>
      </c>
      <c r="AP57" s="161">
        <v>31.23076923076923</v>
      </c>
      <c r="AQ57" s="161"/>
      <c r="AR57" s="161"/>
    </row>
    <row r="58" spans="1:44">
      <c r="AF58" s="109" t="s">
        <v>298</v>
      </c>
      <c r="AG58" s="109">
        <v>500</v>
      </c>
      <c r="AH58" s="109">
        <v>1400</v>
      </c>
      <c r="AI58" s="642" t="str">
        <f t="shared" si="6"/>
        <v>a5001400</v>
      </c>
      <c r="AJ58" s="109" t="s">
        <v>436</v>
      </c>
      <c r="AM58" s="109">
        <v>9.1</v>
      </c>
      <c r="AN58" s="109">
        <v>726</v>
      </c>
      <c r="AO58" s="161">
        <v>57.999999999999993</v>
      </c>
      <c r="AP58" s="161">
        <v>33.230769230769234</v>
      </c>
      <c r="AQ58" s="161"/>
      <c r="AR58" s="161"/>
    </row>
    <row r="59" spans="1:44">
      <c r="AF59" s="109" t="s">
        <v>298</v>
      </c>
      <c r="AG59" s="109">
        <v>500</v>
      </c>
      <c r="AH59" s="109">
        <v>1600</v>
      </c>
      <c r="AI59" s="642" t="str">
        <f t="shared" si="6"/>
        <v>a5001600</v>
      </c>
      <c r="AJ59" s="109" t="s">
        <v>436</v>
      </c>
      <c r="AO59" s="161">
        <v>63.499999999999993</v>
      </c>
      <c r="AP59" s="161">
        <v>35.230769230769226</v>
      </c>
      <c r="AQ59" s="161"/>
      <c r="AR59" s="161"/>
    </row>
    <row r="60" spans="1:44">
      <c r="AF60" s="109" t="s">
        <v>298</v>
      </c>
      <c r="AG60" s="109">
        <v>550</v>
      </c>
      <c r="AH60" s="109">
        <v>1000</v>
      </c>
      <c r="AI60" s="642" t="str">
        <f t="shared" si="6"/>
        <v>a5501000</v>
      </c>
      <c r="AJ60" s="109">
        <v>9.6999999999999993</v>
      </c>
      <c r="AK60" s="109">
        <v>8800</v>
      </c>
      <c r="AL60" s="109">
        <v>490</v>
      </c>
      <c r="AM60" s="109">
        <v>8</v>
      </c>
      <c r="AN60" s="109">
        <v>670</v>
      </c>
      <c r="AO60" s="161">
        <v>47.999999999999993</v>
      </c>
      <c r="AP60" s="161">
        <v>30.923076923076923</v>
      </c>
      <c r="AQ60" s="161"/>
      <c r="AR60" s="161"/>
    </row>
    <row r="61" spans="1:44">
      <c r="AF61" s="109" t="s">
        <v>298</v>
      </c>
      <c r="AG61" s="109">
        <v>550</v>
      </c>
      <c r="AH61" s="109">
        <v>1200</v>
      </c>
      <c r="AI61" s="642" t="str">
        <f t="shared" si="6"/>
        <v>a5501200</v>
      </c>
      <c r="AJ61" s="109">
        <v>9.6999999999999993</v>
      </c>
      <c r="AK61" s="109">
        <v>9900</v>
      </c>
      <c r="AL61" s="109">
        <v>500</v>
      </c>
      <c r="AM61" s="109">
        <v>9</v>
      </c>
      <c r="AN61" s="109">
        <v>718</v>
      </c>
      <c r="AO61" s="161">
        <v>53.499999999999993</v>
      </c>
      <c r="AP61" s="161">
        <v>32.92307692307692</v>
      </c>
      <c r="AQ61" s="161"/>
      <c r="AR61" s="161"/>
    </row>
    <row r="62" spans="1:44">
      <c r="AF62" s="109" t="s">
        <v>298</v>
      </c>
      <c r="AG62" s="109">
        <v>550</v>
      </c>
      <c r="AH62" s="109">
        <v>1400</v>
      </c>
      <c r="AI62" s="642" t="str">
        <f t="shared" si="6"/>
        <v>a5501400</v>
      </c>
      <c r="AJ62" s="109" t="s">
        <v>436</v>
      </c>
      <c r="AM62" s="109">
        <v>1.01</v>
      </c>
      <c r="AN62" s="109">
        <v>807</v>
      </c>
      <c r="AO62" s="161">
        <v>59</v>
      </c>
      <c r="AP62" s="161">
        <v>34.92307692307692</v>
      </c>
      <c r="AQ62" s="161"/>
      <c r="AR62" s="161"/>
    </row>
    <row r="63" spans="1:44">
      <c r="A63" s="148"/>
      <c r="B63" s="148"/>
      <c r="C63" s="148"/>
      <c r="AF63" s="109" t="s">
        <v>298</v>
      </c>
      <c r="AG63" s="109">
        <v>600</v>
      </c>
      <c r="AH63" s="109">
        <v>1000</v>
      </c>
      <c r="AI63" s="642" t="str">
        <f t="shared" si="6"/>
        <v>a6001000</v>
      </c>
      <c r="AJ63" s="109">
        <v>10.199999999999999</v>
      </c>
      <c r="AK63" s="109">
        <v>9700</v>
      </c>
      <c r="AL63" s="109">
        <v>490</v>
      </c>
      <c r="AM63" s="109">
        <v>8.8000000000000007</v>
      </c>
      <c r="AN63" s="109">
        <v>704</v>
      </c>
      <c r="AO63" s="161">
        <v>49.5</v>
      </c>
      <c r="AP63" s="161">
        <v>32.769230769230766</v>
      </c>
      <c r="AQ63" s="161"/>
      <c r="AR63" s="161"/>
    </row>
    <row r="64" spans="1:44">
      <c r="A64" s="148"/>
      <c r="B64" s="148"/>
      <c r="C64" s="148"/>
      <c r="AF64" s="109" t="s">
        <v>298</v>
      </c>
      <c r="AG64" s="109">
        <v>600</v>
      </c>
      <c r="AH64" s="109">
        <v>1200</v>
      </c>
      <c r="AI64" s="642" t="str">
        <f t="shared" si="6"/>
        <v>a6001200</v>
      </c>
      <c r="AJ64" s="109" t="s">
        <v>437</v>
      </c>
      <c r="AO64" s="161">
        <v>54.749999999999993</v>
      </c>
      <c r="AP64" s="161">
        <v>34.769230769230774</v>
      </c>
      <c r="AQ64" s="161"/>
      <c r="AR64" s="161"/>
    </row>
    <row r="65" spans="1:44">
      <c r="A65" s="148"/>
      <c r="B65" s="148"/>
      <c r="C65" s="148"/>
      <c r="AF65" s="109" t="s">
        <v>298</v>
      </c>
      <c r="AG65" s="109">
        <v>600</v>
      </c>
      <c r="AH65" s="109">
        <v>1400</v>
      </c>
      <c r="AI65" s="642" t="str">
        <f t="shared" si="6"/>
        <v>a6001400</v>
      </c>
      <c r="AJ65" s="109" t="s">
        <v>437</v>
      </c>
      <c r="AO65" s="161">
        <v>60.25</v>
      </c>
      <c r="AP65" s="161">
        <v>36.615384615384613</v>
      </c>
      <c r="AQ65" s="161"/>
      <c r="AR65" s="161"/>
    </row>
    <row r="66" spans="1:44">
      <c r="AF66" s="109" t="s">
        <v>298</v>
      </c>
      <c r="AG66" s="109">
        <v>650</v>
      </c>
      <c r="AH66" s="109">
        <v>1000</v>
      </c>
      <c r="AI66" s="642" t="str">
        <f t="shared" si="6"/>
        <v>a6501000</v>
      </c>
      <c r="AJ66" s="109" t="s">
        <v>438</v>
      </c>
      <c r="AO66" s="161">
        <v>50.75</v>
      </c>
      <c r="AP66" s="161">
        <v>34.615384615384613</v>
      </c>
      <c r="AQ66" s="161"/>
      <c r="AR66" s="161"/>
    </row>
    <row r="67" spans="1:44">
      <c r="AF67" s="109" t="s">
        <v>298</v>
      </c>
      <c r="AG67" s="109">
        <v>650</v>
      </c>
      <c r="AH67" s="109">
        <v>1200</v>
      </c>
      <c r="AI67" s="642" t="str">
        <f t="shared" si="6"/>
        <v>a6501200</v>
      </c>
      <c r="AJ67" s="109" t="s">
        <v>438</v>
      </c>
      <c r="AO67" s="161">
        <v>55.999999999999993</v>
      </c>
      <c r="AP67" s="161">
        <v>36.46153846153846</v>
      </c>
      <c r="AQ67" s="161"/>
      <c r="AR67" s="161"/>
    </row>
    <row r="68" spans="1:44" ht="15.6">
      <c r="A68" s="433"/>
      <c r="B68" s="116"/>
      <c r="C68" s="116"/>
      <c r="D68" s="434"/>
      <c r="E68" s="434"/>
      <c r="F68" s="434"/>
      <c r="G68" s="434"/>
      <c r="H68" s="434"/>
      <c r="I68" s="434"/>
      <c r="J68" s="434"/>
      <c r="K68" s="434"/>
      <c r="L68" s="434"/>
      <c r="M68" s="434"/>
      <c r="N68" s="434"/>
      <c r="AF68" s="109" t="s">
        <v>298</v>
      </c>
      <c r="AG68" s="109">
        <v>700</v>
      </c>
      <c r="AH68" s="109">
        <v>1000</v>
      </c>
      <c r="AI68" s="642" t="str">
        <f t="shared" si="6"/>
        <v>a7001000</v>
      </c>
      <c r="AJ68" s="109" t="s">
        <v>438</v>
      </c>
      <c r="AO68" s="161">
        <v>52.249999999999993</v>
      </c>
      <c r="AP68" s="161">
        <v>36.307692307692307</v>
      </c>
      <c r="AQ68" s="161"/>
      <c r="AR68" s="161"/>
    </row>
    <row r="69" spans="1:44">
      <c r="A69" s="116"/>
      <c r="B69" s="116"/>
      <c r="C69" s="116"/>
      <c r="D69" s="435"/>
      <c r="E69" s="435"/>
      <c r="F69" s="435"/>
      <c r="G69" s="435"/>
      <c r="H69" s="435"/>
      <c r="I69" s="435"/>
      <c r="J69" s="435"/>
      <c r="K69" s="435"/>
      <c r="L69" s="435"/>
      <c r="M69" s="435"/>
      <c r="N69" s="435"/>
      <c r="AF69" s="109" t="s">
        <v>298</v>
      </c>
      <c r="AG69" s="109">
        <v>750</v>
      </c>
      <c r="AH69" s="109">
        <v>1000</v>
      </c>
      <c r="AI69" s="642" t="str">
        <f t="shared" si="6"/>
        <v>a7501000</v>
      </c>
      <c r="AJ69" s="109" t="s">
        <v>438</v>
      </c>
      <c r="AO69" s="161">
        <v>53.75</v>
      </c>
      <c r="AP69" s="161">
        <v>38.153846153846153</v>
      </c>
      <c r="AQ69" s="161"/>
      <c r="AR69" s="161"/>
    </row>
    <row r="70" spans="1:44">
      <c r="A70" s="116"/>
      <c r="B70" s="116"/>
      <c r="C70" s="116"/>
      <c r="D70" s="116"/>
      <c r="E70" s="436"/>
      <c r="F70" s="436"/>
      <c r="G70" s="436"/>
      <c r="H70" s="436"/>
      <c r="I70" s="436"/>
      <c r="J70" s="436"/>
      <c r="K70" s="436"/>
      <c r="L70" s="436"/>
      <c r="M70" s="436"/>
      <c r="N70" s="436"/>
      <c r="AF70" s="109" t="s">
        <v>301</v>
      </c>
      <c r="AG70" s="109">
        <v>250</v>
      </c>
      <c r="AH70" s="109">
        <v>1000</v>
      </c>
      <c r="AI70" s="642" t="str">
        <f t="shared" si="6"/>
        <v>b2501000</v>
      </c>
      <c r="AJ70" s="109">
        <v>5.7</v>
      </c>
      <c r="AK70" s="109">
        <v>4800</v>
      </c>
      <c r="AL70" s="109">
        <v>340</v>
      </c>
      <c r="AM70" s="109">
        <v>4.5</v>
      </c>
      <c r="AN70" s="109">
        <v>475</v>
      </c>
      <c r="AO70" s="161">
        <v>42</v>
      </c>
      <c r="AP70" s="161">
        <v>20.923076923076923</v>
      </c>
    </row>
    <row r="71" spans="1:44">
      <c r="A71" s="116"/>
      <c r="B71" s="116"/>
      <c r="C71" s="116"/>
      <c r="D71" s="116"/>
      <c r="E71" s="178"/>
      <c r="F71" s="178"/>
      <c r="G71" s="178"/>
      <c r="H71" s="178"/>
      <c r="I71" s="178"/>
      <c r="J71" s="178"/>
      <c r="K71" s="178"/>
      <c r="L71" s="178"/>
      <c r="M71" s="178"/>
      <c r="N71" s="178"/>
      <c r="AF71" s="109" t="s">
        <v>301</v>
      </c>
      <c r="AG71" s="109">
        <v>250</v>
      </c>
      <c r="AH71" s="109">
        <v>1200</v>
      </c>
      <c r="AI71" s="642" t="str">
        <f t="shared" si="6"/>
        <v>b2501200</v>
      </c>
      <c r="AJ71" s="109">
        <v>5.7</v>
      </c>
      <c r="AK71" s="109">
        <v>5250</v>
      </c>
      <c r="AL71" s="109">
        <v>390</v>
      </c>
      <c r="AM71" s="109">
        <v>4.9000000000000004</v>
      </c>
      <c r="AN71" s="109">
        <v>523</v>
      </c>
      <c r="AO71" s="161">
        <v>48.499999999999993</v>
      </c>
      <c r="AP71" s="161">
        <v>23.23076923076923</v>
      </c>
    </row>
    <row r="72" spans="1:44">
      <c r="E72" s="190">
        <v>1</v>
      </c>
      <c r="F72" s="190">
        <v>1</v>
      </c>
      <c r="G72" s="190">
        <v>1</v>
      </c>
      <c r="H72" s="190">
        <v>1</v>
      </c>
      <c r="I72" s="190"/>
      <c r="J72" s="190">
        <v>1</v>
      </c>
      <c r="K72" s="190">
        <v>1</v>
      </c>
      <c r="L72" s="190">
        <v>1</v>
      </c>
      <c r="M72" s="190">
        <v>1</v>
      </c>
      <c r="N72" s="190">
        <v>1</v>
      </c>
      <c r="O72" s="190">
        <v>1</v>
      </c>
      <c r="AF72" s="109" t="s">
        <v>301</v>
      </c>
      <c r="AG72" s="109">
        <v>250</v>
      </c>
      <c r="AH72" s="109">
        <v>1400</v>
      </c>
      <c r="AI72" s="642" t="str">
        <f t="shared" si="6"/>
        <v>b2501400</v>
      </c>
      <c r="AJ72" s="109">
        <v>5.7</v>
      </c>
      <c r="AK72" s="109">
        <v>5750</v>
      </c>
      <c r="AL72" s="109">
        <v>430</v>
      </c>
      <c r="AM72" s="109">
        <v>5.4</v>
      </c>
      <c r="AN72" s="109">
        <v>568</v>
      </c>
      <c r="AO72" s="161">
        <v>55</v>
      </c>
      <c r="AP72" s="161">
        <v>25.53846153846154</v>
      </c>
    </row>
    <row r="73" spans="1:44" ht="26.4">
      <c r="A73" s="643"/>
      <c r="B73" s="192" t="s">
        <v>40</v>
      </c>
      <c r="C73" s="193" t="s">
        <v>187</v>
      </c>
      <c r="D73" s="193" t="s">
        <v>188</v>
      </c>
      <c r="E73" s="193" t="s">
        <v>220</v>
      </c>
      <c r="F73" s="193" t="s">
        <v>190</v>
      </c>
      <c r="G73" s="193" t="s">
        <v>191</v>
      </c>
      <c r="H73" s="193" t="s">
        <v>42</v>
      </c>
      <c r="I73" s="193" t="s">
        <v>43</v>
      </c>
      <c r="J73" s="193" t="s">
        <v>44</v>
      </c>
      <c r="K73" s="193" t="s">
        <v>45</v>
      </c>
      <c r="L73" s="193" t="s">
        <v>46</v>
      </c>
      <c r="M73" s="193" t="s">
        <v>47</v>
      </c>
      <c r="N73" s="193" t="s">
        <v>48</v>
      </c>
      <c r="O73" s="193" t="s">
        <v>49</v>
      </c>
      <c r="P73" s="193" t="s">
        <v>50</v>
      </c>
      <c r="Q73" s="193" t="s">
        <v>51</v>
      </c>
      <c r="R73" s="193" t="s">
        <v>52</v>
      </c>
      <c r="S73" s="193" t="s">
        <v>53</v>
      </c>
      <c r="T73" s="193" t="s">
        <v>54</v>
      </c>
      <c r="U73" s="193" t="s">
        <v>193</v>
      </c>
      <c r="V73" s="193" t="s">
        <v>56</v>
      </c>
      <c r="W73" s="193" t="s">
        <v>57</v>
      </c>
      <c r="X73" s="193" t="s">
        <v>59</v>
      </c>
      <c r="Y73" s="194" t="s">
        <v>221</v>
      </c>
      <c r="AF73" s="109" t="s">
        <v>301</v>
      </c>
      <c r="AG73" s="109">
        <v>300</v>
      </c>
      <c r="AH73" s="109">
        <v>1000</v>
      </c>
      <c r="AI73" s="642" t="str">
        <f t="shared" si="6"/>
        <v>b3001000</v>
      </c>
      <c r="AJ73" s="109">
        <v>6.3</v>
      </c>
      <c r="AK73" s="109">
        <v>5350</v>
      </c>
      <c r="AL73" s="109">
        <v>360</v>
      </c>
      <c r="AM73" s="109">
        <v>5</v>
      </c>
      <c r="AN73" s="109">
        <v>518</v>
      </c>
      <c r="AO73" s="161">
        <v>42.5</v>
      </c>
      <c r="AP73" s="161">
        <v>22.46153846153846</v>
      </c>
    </row>
    <row r="74" spans="1:44">
      <c r="A74" s="644"/>
      <c r="B74" s="202">
        <f t="shared" ref="B74:G89" si="7">B17</f>
        <v>0</v>
      </c>
      <c r="C74" s="197" t="str">
        <f t="shared" si="7"/>
        <v/>
      </c>
      <c r="D74" s="197">
        <f t="shared" si="7"/>
        <v>0</v>
      </c>
      <c r="E74" s="197">
        <f t="shared" si="7"/>
        <v>0</v>
      </c>
      <c r="F74" s="198" t="str">
        <f>F17</f>
        <v xml:space="preserve"> </v>
      </c>
      <c r="G74" s="199" t="str">
        <f>G17</f>
        <v xml:space="preserve"> </v>
      </c>
      <c r="H74" s="200" t="str">
        <f t="shared" ref="H74:Y88" si="8">IF($B74&gt;0,(IF($C74="F",H17*$G17,(H17/($F17/100))*$G17))," ")</f>
        <v xml:space="preserve"> </v>
      </c>
      <c r="I74" s="200" t="str">
        <f t="shared" si="8"/>
        <v xml:space="preserve"> </v>
      </c>
      <c r="J74" s="200" t="str">
        <f t="shared" si="8"/>
        <v xml:space="preserve"> </v>
      </c>
      <c r="K74" s="200" t="str">
        <f t="shared" si="8"/>
        <v xml:space="preserve"> </v>
      </c>
      <c r="L74" s="200" t="str">
        <f t="shared" si="8"/>
        <v xml:space="preserve"> </v>
      </c>
      <c r="M74" s="199" t="str">
        <f t="shared" si="8"/>
        <v xml:space="preserve"> </v>
      </c>
      <c r="N74" s="200" t="str">
        <f t="shared" si="8"/>
        <v xml:space="preserve"> </v>
      </c>
      <c r="O74" s="200" t="str">
        <f t="shared" si="8"/>
        <v xml:space="preserve"> </v>
      </c>
      <c r="P74" s="200" t="str">
        <f t="shared" si="8"/>
        <v xml:space="preserve"> </v>
      </c>
      <c r="Q74" s="200" t="str">
        <f t="shared" si="8"/>
        <v xml:space="preserve"> </v>
      </c>
      <c r="R74" s="200" t="str">
        <f t="shared" si="8"/>
        <v xml:space="preserve"> </v>
      </c>
      <c r="S74" s="200" t="str">
        <f t="shared" si="8"/>
        <v xml:space="preserve"> </v>
      </c>
      <c r="T74" s="200" t="str">
        <f t="shared" si="8"/>
        <v xml:space="preserve"> </v>
      </c>
      <c r="U74" s="200" t="str">
        <f t="shared" si="8"/>
        <v xml:space="preserve"> </v>
      </c>
      <c r="V74" s="200" t="str">
        <f t="shared" si="8"/>
        <v xml:space="preserve"> </v>
      </c>
      <c r="W74" s="200" t="str">
        <f t="shared" si="8"/>
        <v xml:space="preserve"> </v>
      </c>
      <c r="X74" s="200" t="str">
        <f t="shared" si="8"/>
        <v xml:space="preserve"> </v>
      </c>
      <c r="Y74" s="645" t="str">
        <f t="shared" si="8"/>
        <v xml:space="preserve"> </v>
      </c>
      <c r="AF74" s="109" t="s">
        <v>301</v>
      </c>
      <c r="AG74" s="109">
        <v>300</v>
      </c>
      <c r="AH74" s="109">
        <v>1200</v>
      </c>
      <c r="AI74" s="642" t="str">
        <f t="shared" si="6"/>
        <v>b3001200</v>
      </c>
      <c r="AJ74" s="109">
        <v>6.3</v>
      </c>
      <c r="AK74" s="109">
        <v>5850</v>
      </c>
      <c r="AL74" s="109">
        <v>405</v>
      </c>
      <c r="AM74" s="109">
        <v>5.5</v>
      </c>
      <c r="AN74" s="109">
        <v>566</v>
      </c>
      <c r="AO74" s="161">
        <v>48.75</v>
      </c>
      <c r="AP74" s="161">
        <v>24.76923076923077</v>
      </c>
    </row>
    <row r="75" spans="1:44">
      <c r="A75" s="644"/>
      <c r="B75" s="202">
        <f>B18</f>
        <v>0</v>
      </c>
      <c r="C75" s="197" t="str">
        <f t="shared" si="7"/>
        <v/>
      </c>
      <c r="D75" s="197">
        <f t="shared" si="7"/>
        <v>0</v>
      </c>
      <c r="E75" s="197">
        <f t="shared" si="7"/>
        <v>0</v>
      </c>
      <c r="F75" s="198" t="str">
        <f t="shared" si="7"/>
        <v xml:space="preserve"> </v>
      </c>
      <c r="G75" s="199" t="str">
        <f t="shared" si="7"/>
        <v xml:space="preserve"> </v>
      </c>
      <c r="H75" s="200" t="str">
        <f t="shared" si="8"/>
        <v xml:space="preserve"> </v>
      </c>
      <c r="I75" s="200" t="str">
        <f t="shared" si="8"/>
        <v xml:space="preserve"> </v>
      </c>
      <c r="J75" s="200" t="str">
        <f t="shared" si="8"/>
        <v xml:space="preserve"> </v>
      </c>
      <c r="K75" s="200" t="str">
        <f t="shared" si="8"/>
        <v xml:space="preserve"> </v>
      </c>
      <c r="L75" s="200" t="str">
        <f t="shared" si="8"/>
        <v xml:space="preserve"> </v>
      </c>
      <c r="M75" s="199" t="str">
        <f t="shared" si="8"/>
        <v xml:space="preserve"> </v>
      </c>
      <c r="N75" s="200" t="str">
        <f t="shared" si="8"/>
        <v xml:space="preserve"> </v>
      </c>
      <c r="O75" s="200" t="str">
        <f t="shared" si="8"/>
        <v xml:space="preserve"> </v>
      </c>
      <c r="P75" s="200" t="str">
        <f t="shared" si="8"/>
        <v xml:space="preserve"> </v>
      </c>
      <c r="Q75" s="200" t="str">
        <f t="shared" si="8"/>
        <v xml:space="preserve"> </v>
      </c>
      <c r="R75" s="200" t="str">
        <f t="shared" si="8"/>
        <v xml:space="preserve"> </v>
      </c>
      <c r="S75" s="200" t="str">
        <f t="shared" si="8"/>
        <v xml:space="preserve"> </v>
      </c>
      <c r="T75" s="200" t="str">
        <f t="shared" si="8"/>
        <v xml:space="preserve"> </v>
      </c>
      <c r="U75" s="200" t="str">
        <f t="shared" si="8"/>
        <v xml:space="preserve"> </v>
      </c>
      <c r="V75" s="200" t="str">
        <f t="shared" si="8"/>
        <v xml:space="preserve"> </v>
      </c>
      <c r="W75" s="200" t="str">
        <f t="shared" si="8"/>
        <v xml:space="preserve"> </v>
      </c>
      <c r="X75" s="200" t="str">
        <f t="shared" si="8"/>
        <v xml:space="preserve"> </v>
      </c>
      <c r="Y75" s="645" t="str">
        <f t="shared" si="8"/>
        <v xml:space="preserve"> </v>
      </c>
      <c r="AF75" s="109" t="s">
        <v>301</v>
      </c>
      <c r="AG75" s="109">
        <v>300</v>
      </c>
      <c r="AH75" s="109">
        <v>1400</v>
      </c>
      <c r="AI75" s="642" t="str">
        <f t="shared" si="6"/>
        <v>b3001400</v>
      </c>
      <c r="AJ75" s="109">
        <v>6.3</v>
      </c>
      <c r="AK75" s="109">
        <v>6450</v>
      </c>
      <c r="AL75" s="109">
        <v>450</v>
      </c>
      <c r="AM75" s="109">
        <v>5.9</v>
      </c>
      <c r="AN75" s="109">
        <v>513</v>
      </c>
      <c r="AO75" s="161">
        <v>55</v>
      </c>
      <c r="AP75" s="161">
        <v>26.923076923076923</v>
      </c>
    </row>
    <row r="76" spans="1:44">
      <c r="A76" s="644"/>
      <c r="B76" s="202">
        <f>B19</f>
        <v>0</v>
      </c>
      <c r="C76" s="197" t="str">
        <f t="shared" si="7"/>
        <v/>
      </c>
      <c r="D76" s="197">
        <f t="shared" si="7"/>
        <v>0</v>
      </c>
      <c r="E76" s="197">
        <f t="shared" si="7"/>
        <v>0</v>
      </c>
      <c r="F76" s="198" t="str">
        <f t="shared" si="7"/>
        <v xml:space="preserve"> </v>
      </c>
      <c r="G76" s="199" t="str">
        <f t="shared" si="7"/>
        <v xml:space="preserve"> </v>
      </c>
      <c r="H76" s="200" t="str">
        <f t="shared" si="8"/>
        <v xml:space="preserve"> </v>
      </c>
      <c r="I76" s="200" t="str">
        <f t="shared" si="8"/>
        <v xml:space="preserve"> </v>
      </c>
      <c r="J76" s="200" t="str">
        <f t="shared" si="8"/>
        <v xml:space="preserve"> </v>
      </c>
      <c r="K76" s="200" t="str">
        <f t="shared" si="8"/>
        <v xml:space="preserve"> </v>
      </c>
      <c r="L76" s="200" t="str">
        <f t="shared" si="8"/>
        <v xml:space="preserve"> </v>
      </c>
      <c r="M76" s="199" t="str">
        <f t="shared" si="8"/>
        <v xml:space="preserve"> </v>
      </c>
      <c r="N76" s="200" t="str">
        <f t="shared" si="8"/>
        <v xml:space="preserve"> </v>
      </c>
      <c r="O76" s="200" t="str">
        <f t="shared" si="8"/>
        <v xml:space="preserve"> </v>
      </c>
      <c r="P76" s="200" t="str">
        <f t="shared" si="8"/>
        <v xml:space="preserve"> </v>
      </c>
      <c r="Q76" s="200" t="str">
        <f t="shared" si="8"/>
        <v xml:space="preserve"> </v>
      </c>
      <c r="R76" s="200" t="str">
        <f t="shared" si="8"/>
        <v xml:space="preserve"> </v>
      </c>
      <c r="S76" s="200" t="str">
        <f t="shared" si="8"/>
        <v xml:space="preserve"> </v>
      </c>
      <c r="T76" s="200" t="str">
        <f t="shared" si="8"/>
        <v xml:space="preserve"> </v>
      </c>
      <c r="U76" s="200" t="str">
        <f t="shared" si="8"/>
        <v xml:space="preserve"> </v>
      </c>
      <c r="V76" s="200" t="str">
        <f t="shared" si="8"/>
        <v xml:space="preserve"> </v>
      </c>
      <c r="W76" s="200" t="str">
        <f t="shared" si="8"/>
        <v xml:space="preserve"> </v>
      </c>
      <c r="X76" s="200" t="str">
        <f t="shared" si="8"/>
        <v xml:space="preserve"> </v>
      </c>
      <c r="Y76" s="645" t="str">
        <f t="shared" si="8"/>
        <v xml:space="preserve"> </v>
      </c>
      <c r="AF76" s="109" t="s">
        <v>301</v>
      </c>
      <c r="AG76" s="109">
        <v>300</v>
      </c>
      <c r="AH76" s="109">
        <v>1600</v>
      </c>
      <c r="AI76" s="642" t="str">
        <f t="shared" si="6"/>
        <v>b3001600</v>
      </c>
      <c r="AJ76" s="109">
        <v>6.3</v>
      </c>
      <c r="AK76" s="109">
        <v>7050</v>
      </c>
      <c r="AL76" s="109">
        <v>490</v>
      </c>
      <c r="AM76" s="109">
        <v>6.4</v>
      </c>
      <c r="AN76" s="109">
        <v>657</v>
      </c>
      <c r="AO76" s="161">
        <v>61.25</v>
      </c>
      <c r="AP76" s="161">
        <v>29.076923076923073</v>
      </c>
    </row>
    <row r="77" spans="1:44">
      <c r="A77" s="644"/>
      <c r="B77" s="202">
        <f t="shared" si="7"/>
        <v>0</v>
      </c>
      <c r="C77" s="197" t="str">
        <f t="shared" si="7"/>
        <v/>
      </c>
      <c r="D77" s="197">
        <f t="shared" si="7"/>
        <v>0</v>
      </c>
      <c r="E77" s="197">
        <f t="shared" si="7"/>
        <v>0</v>
      </c>
      <c r="F77" s="198" t="str">
        <f t="shared" si="7"/>
        <v xml:space="preserve"> </v>
      </c>
      <c r="G77" s="199" t="str">
        <f t="shared" si="7"/>
        <v xml:space="preserve"> </v>
      </c>
      <c r="H77" s="200" t="str">
        <f t="shared" si="8"/>
        <v xml:space="preserve"> </v>
      </c>
      <c r="I77" s="200" t="str">
        <f t="shared" si="8"/>
        <v xml:space="preserve"> </v>
      </c>
      <c r="J77" s="200" t="str">
        <f t="shared" si="8"/>
        <v xml:space="preserve"> </v>
      </c>
      <c r="K77" s="200" t="str">
        <f t="shared" si="8"/>
        <v xml:space="preserve"> </v>
      </c>
      <c r="L77" s="200" t="str">
        <f t="shared" si="8"/>
        <v xml:space="preserve"> </v>
      </c>
      <c r="M77" s="199" t="str">
        <f t="shared" si="8"/>
        <v xml:space="preserve"> </v>
      </c>
      <c r="N77" s="200" t="str">
        <f t="shared" si="8"/>
        <v xml:space="preserve"> </v>
      </c>
      <c r="O77" s="200" t="str">
        <f t="shared" si="8"/>
        <v xml:space="preserve"> </v>
      </c>
      <c r="P77" s="200" t="str">
        <f t="shared" si="8"/>
        <v xml:space="preserve"> </v>
      </c>
      <c r="Q77" s="200" t="str">
        <f t="shared" si="8"/>
        <v xml:space="preserve"> </v>
      </c>
      <c r="R77" s="200" t="str">
        <f t="shared" si="8"/>
        <v xml:space="preserve"> </v>
      </c>
      <c r="S77" s="200" t="str">
        <f t="shared" si="8"/>
        <v xml:space="preserve"> </v>
      </c>
      <c r="T77" s="200" t="str">
        <f t="shared" si="8"/>
        <v xml:space="preserve"> </v>
      </c>
      <c r="U77" s="200" t="str">
        <f t="shared" si="8"/>
        <v xml:space="preserve"> </v>
      </c>
      <c r="V77" s="200" t="str">
        <f t="shared" si="8"/>
        <v xml:space="preserve"> </v>
      </c>
      <c r="W77" s="200" t="str">
        <f t="shared" si="8"/>
        <v xml:space="preserve"> </v>
      </c>
      <c r="X77" s="200" t="str">
        <f t="shared" si="8"/>
        <v xml:space="preserve"> </v>
      </c>
      <c r="Y77" s="645" t="str">
        <f t="shared" si="8"/>
        <v xml:space="preserve"> </v>
      </c>
      <c r="AF77" s="109" t="s">
        <v>301</v>
      </c>
      <c r="AG77" s="109">
        <v>350</v>
      </c>
      <c r="AH77" s="109">
        <v>1000</v>
      </c>
      <c r="AI77" s="642" t="str">
        <f t="shared" si="6"/>
        <v>b3501000</v>
      </c>
      <c r="AJ77" s="109">
        <v>7</v>
      </c>
      <c r="AK77" s="109">
        <v>5900</v>
      </c>
      <c r="AL77" s="109">
        <v>380</v>
      </c>
      <c r="AM77" s="109">
        <v>5.5</v>
      </c>
      <c r="AN77" s="109">
        <v>560</v>
      </c>
      <c r="AO77" s="161">
        <v>43.499999999999993</v>
      </c>
      <c r="AP77" s="161">
        <v>24.153846153846153</v>
      </c>
    </row>
    <row r="78" spans="1:44">
      <c r="A78" s="644"/>
      <c r="B78" s="202">
        <f t="shared" si="7"/>
        <v>0</v>
      </c>
      <c r="C78" s="197" t="str">
        <f t="shared" si="7"/>
        <v/>
      </c>
      <c r="D78" s="197">
        <f t="shared" si="7"/>
        <v>0</v>
      </c>
      <c r="E78" s="197">
        <f t="shared" si="7"/>
        <v>0</v>
      </c>
      <c r="F78" s="198" t="str">
        <f t="shared" si="7"/>
        <v xml:space="preserve"> </v>
      </c>
      <c r="G78" s="199" t="str">
        <f t="shared" si="7"/>
        <v xml:space="preserve"> </v>
      </c>
      <c r="H78" s="200" t="str">
        <f t="shared" si="8"/>
        <v xml:space="preserve"> </v>
      </c>
      <c r="I78" s="200" t="str">
        <f t="shared" si="8"/>
        <v xml:space="preserve"> </v>
      </c>
      <c r="J78" s="200" t="str">
        <f t="shared" si="8"/>
        <v xml:space="preserve"> </v>
      </c>
      <c r="K78" s="200" t="str">
        <f t="shared" si="8"/>
        <v xml:space="preserve"> </v>
      </c>
      <c r="L78" s="200" t="str">
        <f t="shared" si="8"/>
        <v xml:space="preserve"> </v>
      </c>
      <c r="M78" s="199" t="str">
        <f t="shared" si="8"/>
        <v xml:space="preserve"> </v>
      </c>
      <c r="N78" s="200" t="str">
        <f t="shared" si="8"/>
        <v xml:space="preserve"> </v>
      </c>
      <c r="O78" s="200" t="str">
        <f t="shared" si="8"/>
        <v xml:space="preserve"> </v>
      </c>
      <c r="P78" s="200" t="str">
        <f t="shared" si="8"/>
        <v xml:space="preserve"> </v>
      </c>
      <c r="Q78" s="200" t="str">
        <f t="shared" si="8"/>
        <v xml:space="preserve"> </v>
      </c>
      <c r="R78" s="200" t="str">
        <f t="shared" si="8"/>
        <v xml:space="preserve"> </v>
      </c>
      <c r="S78" s="200" t="str">
        <f t="shared" si="8"/>
        <v xml:space="preserve"> </v>
      </c>
      <c r="T78" s="200" t="str">
        <f t="shared" si="8"/>
        <v xml:space="preserve"> </v>
      </c>
      <c r="U78" s="200" t="str">
        <f t="shared" si="8"/>
        <v xml:space="preserve"> </v>
      </c>
      <c r="V78" s="200" t="str">
        <f t="shared" si="8"/>
        <v xml:space="preserve"> </v>
      </c>
      <c r="W78" s="200" t="str">
        <f t="shared" si="8"/>
        <v xml:space="preserve"> </v>
      </c>
      <c r="X78" s="200" t="str">
        <f t="shared" si="8"/>
        <v xml:space="preserve"> </v>
      </c>
      <c r="Y78" s="645" t="str">
        <f t="shared" si="8"/>
        <v xml:space="preserve"> </v>
      </c>
      <c r="AF78" s="109" t="s">
        <v>301</v>
      </c>
      <c r="AG78" s="109">
        <v>350</v>
      </c>
      <c r="AH78" s="109">
        <v>1200</v>
      </c>
      <c r="AI78" s="642" t="str">
        <f t="shared" si="6"/>
        <v>b3501200</v>
      </c>
      <c r="AJ78" s="109">
        <v>7</v>
      </c>
      <c r="AK78" s="109">
        <v>6500</v>
      </c>
      <c r="AL78" s="109">
        <v>425</v>
      </c>
      <c r="AM78" s="109">
        <v>6</v>
      </c>
      <c r="AN78" s="109">
        <v>610</v>
      </c>
      <c r="AO78" s="161">
        <v>49.5</v>
      </c>
      <c r="AP78" s="161">
        <v>26.30769230769231</v>
      </c>
    </row>
    <row r="79" spans="1:44">
      <c r="A79" s="644"/>
      <c r="B79" s="202">
        <f t="shared" si="7"/>
        <v>0</v>
      </c>
      <c r="C79" s="197" t="str">
        <f t="shared" si="7"/>
        <v/>
      </c>
      <c r="D79" s="197">
        <f t="shared" si="7"/>
        <v>0</v>
      </c>
      <c r="E79" s="197">
        <f t="shared" si="7"/>
        <v>0</v>
      </c>
      <c r="F79" s="198" t="str">
        <f t="shared" si="7"/>
        <v xml:space="preserve"> </v>
      </c>
      <c r="G79" s="199" t="str">
        <f t="shared" si="7"/>
        <v xml:space="preserve"> </v>
      </c>
      <c r="H79" s="200" t="str">
        <f t="shared" si="8"/>
        <v xml:space="preserve"> </v>
      </c>
      <c r="I79" s="200" t="str">
        <f t="shared" si="8"/>
        <v xml:space="preserve"> </v>
      </c>
      <c r="J79" s="200" t="str">
        <f t="shared" si="8"/>
        <v xml:space="preserve"> </v>
      </c>
      <c r="K79" s="200" t="str">
        <f t="shared" si="8"/>
        <v xml:space="preserve"> </v>
      </c>
      <c r="L79" s="200" t="str">
        <f t="shared" si="8"/>
        <v xml:space="preserve"> </v>
      </c>
      <c r="M79" s="199" t="str">
        <f t="shared" si="8"/>
        <v xml:space="preserve"> </v>
      </c>
      <c r="N79" s="200" t="str">
        <f t="shared" si="8"/>
        <v xml:space="preserve"> </v>
      </c>
      <c r="O79" s="200" t="str">
        <f t="shared" si="8"/>
        <v xml:space="preserve"> </v>
      </c>
      <c r="P79" s="200" t="str">
        <f t="shared" si="8"/>
        <v xml:space="preserve"> </v>
      </c>
      <c r="Q79" s="200" t="str">
        <f t="shared" si="8"/>
        <v xml:space="preserve"> </v>
      </c>
      <c r="R79" s="200" t="str">
        <f t="shared" si="8"/>
        <v xml:space="preserve"> </v>
      </c>
      <c r="S79" s="200" t="str">
        <f t="shared" si="8"/>
        <v xml:space="preserve"> </v>
      </c>
      <c r="T79" s="200" t="str">
        <f t="shared" si="8"/>
        <v xml:space="preserve"> </v>
      </c>
      <c r="U79" s="200" t="str">
        <f t="shared" si="8"/>
        <v xml:space="preserve"> </v>
      </c>
      <c r="V79" s="200" t="str">
        <f t="shared" si="8"/>
        <v xml:space="preserve"> </v>
      </c>
      <c r="W79" s="200" t="str">
        <f t="shared" si="8"/>
        <v xml:space="preserve"> </v>
      </c>
      <c r="X79" s="200" t="str">
        <f t="shared" si="8"/>
        <v xml:space="preserve"> </v>
      </c>
      <c r="Y79" s="645" t="str">
        <f t="shared" si="8"/>
        <v xml:space="preserve"> </v>
      </c>
      <c r="AF79" s="109" t="s">
        <v>301</v>
      </c>
      <c r="AG79" s="109">
        <v>350</v>
      </c>
      <c r="AH79" s="109">
        <v>1400</v>
      </c>
      <c r="AI79" s="642" t="str">
        <f t="shared" si="6"/>
        <v>b3501400</v>
      </c>
      <c r="AJ79" s="109">
        <v>7</v>
      </c>
      <c r="AK79" s="109">
        <v>7100</v>
      </c>
      <c r="AL79" s="109">
        <v>465</v>
      </c>
      <c r="AM79" s="109">
        <v>6.5</v>
      </c>
      <c r="AN79" s="109">
        <v>657</v>
      </c>
      <c r="AO79" s="161">
        <v>55.499999999999993</v>
      </c>
      <c r="AP79" s="161">
        <v>28.46153846153846</v>
      </c>
    </row>
    <row r="80" spans="1:44">
      <c r="A80" s="644"/>
      <c r="B80" s="202">
        <f t="shared" si="7"/>
        <v>0</v>
      </c>
      <c r="C80" s="197" t="str">
        <f t="shared" si="7"/>
        <v/>
      </c>
      <c r="D80" s="197">
        <f t="shared" si="7"/>
        <v>0</v>
      </c>
      <c r="E80" s="197">
        <f t="shared" si="7"/>
        <v>0</v>
      </c>
      <c r="F80" s="198" t="str">
        <f t="shared" si="7"/>
        <v xml:space="preserve"> </v>
      </c>
      <c r="G80" s="199" t="str">
        <f t="shared" si="7"/>
        <v xml:space="preserve"> </v>
      </c>
      <c r="H80" s="200" t="str">
        <f t="shared" si="8"/>
        <v xml:space="preserve"> </v>
      </c>
      <c r="I80" s="200" t="str">
        <f t="shared" si="8"/>
        <v xml:space="preserve"> </v>
      </c>
      <c r="J80" s="200" t="str">
        <f t="shared" si="8"/>
        <v xml:space="preserve"> </v>
      </c>
      <c r="K80" s="200" t="str">
        <f t="shared" si="8"/>
        <v xml:space="preserve"> </v>
      </c>
      <c r="L80" s="200" t="str">
        <f t="shared" si="8"/>
        <v xml:space="preserve"> </v>
      </c>
      <c r="M80" s="199" t="str">
        <f t="shared" si="8"/>
        <v xml:space="preserve"> </v>
      </c>
      <c r="N80" s="200" t="str">
        <f t="shared" si="8"/>
        <v xml:space="preserve"> </v>
      </c>
      <c r="O80" s="200" t="str">
        <f t="shared" si="8"/>
        <v xml:space="preserve"> </v>
      </c>
      <c r="P80" s="200" t="str">
        <f t="shared" si="8"/>
        <v xml:space="preserve"> </v>
      </c>
      <c r="Q80" s="200" t="str">
        <f t="shared" si="8"/>
        <v xml:space="preserve"> </v>
      </c>
      <c r="R80" s="200" t="str">
        <f t="shared" si="8"/>
        <v xml:space="preserve"> </v>
      </c>
      <c r="S80" s="200" t="str">
        <f t="shared" si="8"/>
        <v xml:space="preserve"> </v>
      </c>
      <c r="T80" s="200" t="str">
        <f t="shared" si="8"/>
        <v xml:space="preserve"> </v>
      </c>
      <c r="U80" s="200" t="str">
        <f t="shared" si="8"/>
        <v xml:space="preserve"> </v>
      </c>
      <c r="V80" s="200" t="str">
        <f t="shared" si="8"/>
        <v xml:space="preserve"> </v>
      </c>
      <c r="W80" s="200" t="str">
        <f t="shared" si="8"/>
        <v xml:space="preserve"> </v>
      </c>
      <c r="X80" s="200" t="str">
        <f t="shared" si="8"/>
        <v xml:space="preserve"> </v>
      </c>
      <c r="Y80" s="645" t="str">
        <f t="shared" si="8"/>
        <v xml:space="preserve"> </v>
      </c>
      <c r="AF80" s="109" t="s">
        <v>301</v>
      </c>
      <c r="AG80" s="109">
        <v>350</v>
      </c>
      <c r="AH80" s="109">
        <v>1600</v>
      </c>
      <c r="AI80" s="642" t="str">
        <f t="shared" si="6"/>
        <v>b3501600</v>
      </c>
      <c r="AJ80" s="109">
        <v>7</v>
      </c>
      <c r="AK80" s="109">
        <v>7750</v>
      </c>
      <c r="AL80" s="109">
        <v>505</v>
      </c>
      <c r="AM80" s="109">
        <v>7</v>
      </c>
      <c r="AN80" s="109">
        <v>701</v>
      </c>
      <c r="AO80" s="161">
        <v>61.5</v>
      </c>
      <c r="AP80" s="161">
        <v>30.46153846153846</v>
      </c>
    </row>
    <row r="81" spans="1:42">
      <c r="A81" s="644"/>
      <c r="B81" s="202">
        <f t="shared" si="7"/>
        <v>0</v>
      </c>
      <c r="C81" s="197" t="str">
        <f t="shared" si="7"/>
        <v/>
      </c>
      <c r="D81" s="197">
        <f t="shared" si="7"/>
        <v>0</v>
      </c>
      <c r="E81" s="197">
        <f t="shared" si="7"/>
        <v>0</v>
      </c>
      <c r="F81" s="198" t="str">
        <f t="shared" si="7"/>
        <v xml:space="preserve"> </v>
      </c>
      <c r="G81" s="199" t="str">
        <f t="shared" si="7"/>
        <v xml:space="preserve"> </v>
      </c>
      <c r="H81" s="200" t="str">
        <f t="shared" si="8"/>
        <v xml:space="preserve"> </v>
      </c>
      <c r="I81" s="200" t="str">
        <f t="shared" si="8"/>
        <v xml:space="preserve"> </v>
      </c>
      <c r="J81" s="200" t="str">
        <f t="shared" si="8"/>
        <v xml:space="preserve"> </v>
      </c>
      <c r="K81" s="200" t="str">
        <f t="shared" si="8"/>
        <v xml:space="preserve"> </v>
      </c>
      <c r="L81" s="200" t="str">
        <f t="shared" si="8"/>
        <v xml:space="preserve"> </v>
      </c>
      <c r="M81" s="199" t="str">
        <f t="shared" si="8"/>
        <v xml:space="preserve"> </v>
      </c>
      <c r="N81" s="200" t="str">
        <f t="shared" si="8"/>
        <v xml:space="preserve"> </v>
      </c>
      <c r="O81" s="200" t="str">
        <f t="shared" si="8"/>
        <v xml:space="preserve"> </v>
      </c>
      <c r="P81" s="200" t="str">
        <f t="shared" si="8"/>
        <v xml:space="preserve"> </v>
      </c>
      <c r="Q81" s="200" t="str">
        <f t="shared" si="8"/>
        <v xml:space="preserve"> </v>
      </c>
      <c r="R81" s="200" t="str">
        <f t="shared" si="8"/>
        <v xml:space="preserve"> </v>
      </c>
      <c r="S81" s="200" t="str">
        <f t="shared" si="8"/>
        <v xml:space="preserve"> </v>
      </c>
      <c r="T81" s="200" t="str">
        <f t="shared" si="8"/>
        <v xml:space="preserve"> </v>
      </c>
      <c r="U81" s="200" t="str">
        <f t="shared" si="8"/>
        <v xml:space="preserve"> </v>
      </c>
      <c r="V81" s="200" t="str">
        <f t="shared" si="8"/>
        <v xml:space="preserve"> </v>
      </c>
      <c r="W81" s="200" t="str">
        <f t="shared" si="8"/>
        <v xml:space="preserve"> </v>
      </c>
      <c r="X81" s="200" t="str">
        <f t="shared" si="8"/>
        <v xml:space="preserve"> </v>
      </c>
      <c r="Y81" s="645" t="str">
        <f t="shared" si="8"/>
        <v xml:space="preserve"> </v>
      </c>
      <c r="AF81" s="109" t="s">
        <v>301</v>
      </c>
      <c r="AG81" s="109">
        <v>400</v>
      </c>
      <c r="AH81" s="109">
        <v>1000</v>
      </c>
      <c r="AI81" s="642" t="str">
        <f t="shared" si="6"/>
        <v>b4001000</v>
      </c>
      <c r="AJ81" s="109">
        <v>7.5</v>
      </c>
      <c r="AK81" s="109">
        <v>6500</v>
      </c>
      <c r="AL81" s="109">
        <v>400</v>
      </c>
      <c r="AM81" s="109">
        <v>6</v>
      </c>
      <c r="AN81" s="109">
        <v>603</v>
      </c>
      <c r="AO81" s="161">
        <v>44.5</v>
      </c>
      <c r="AP81" s="161">
        <v>25.846153846153847</v>
      </c>
    </row>
    <row r="82" spans="1:42">
      <c r="A82" s="644"/>
      <c r="B82" s="202">
        <f t="shared" si="7"/>
        <v>0</v>
      </c>
      <c r="C82" s="197" t="str">
        <f t="shared" si="7"/>
        <v/>
      </c>
      <c r="D82" s="197">
        <f t="shared" si="7"/>
        <v>0</v>
      </c>
      <c r="E82" s="197">
        <f t="shared" si="7"/>
        <v>0</v>
      </c>
      <c r="F82" s="198" t="str">
        <f t="shared" si="7"/>
        <v xml:space="preserve"> </v>
      </c>
      <c r="G82" s="199" t="str">
        <f t="shared" si="7"/>
        <v xml:space="preserve"> </v>
      </c>
      <c r="H82" s="200" t="str">
        <f t="shared" si="8"/>
        <v xml:space="preserve"> </v>
      </c>
      <c r="I82" s="200" t="str">
        <f t="shared" si="8"/>
        <v xml:space="preserve"> </v>
      </c>
      <c r="J82" s="200" t="str">
        <f t="shared" si="8"/>
        <v xml:space="preserve"> </v>
      </c>
      <c r="K82" s="200" t="str">
        <f t="shared" si="8"/>
        <v xml:space="preserve"> </v>
      </c>
      <c r="L82" s="200" t="str">
        <f t="shared" si="8"/>
        <v xml:space="preserve"> </v>
      </c>
      <c r="M82" s="199" t="str">
        <f t="shared" si="8"/>
        <v xml:space="preserve"> </v>
      </c>
      <c r="N82" s="200" t="str">
        <f t="shared" si="8"/>
        <v xml:space="preserve"> </v>
      </c>
      <c r="O82" s="200" t="str">
        <f t="shared" si="8"/>
        <v xml:space="preserve"> </v>
      </c>
      <c r="P82" s="200" t="str">
        <f t="shared" si="8"/>
        <v xml:space="preserve"> </v>
      </c>
      <c r="Q82" s="200" t="str">
        <f t="shared" si="8"/>
        <v xml:space="preserve"> </v>
      </c>
      <c r="R82" s="200" t="str">
        <f t="shared" si="8"/>
        <v xml:space="preserve"> </v>
      </c>
      <c r="S82" s="200" t="str">
        <f t="shared" si="8"/>
        <v xml:space="preserve"> </v>
      </c>
      <c r="T82" s="200" t="str">
        <f t="shared" si="8"/>
        <v xml:space="preserve"> </v>
      </c>
      <c r="U82" s="200" t="str">
        <f t="shared" si="8"/>
        <v xml:space="preserve"> </v>
      </c>
      <c r="V82" s="200" t="str">
        <f t="shared" si="8"/>
        <v xml:space="preserve"> </v>
      </c>
      <c r="W82" s="200" t="str">
        <f t="shared" si="8"/>
        <v xml:space="preserve"> </v>
      </c>
      <c r="X82" s="200" t="str">
        <f t="shared" si="8"/>
        <v xml:space="preserve"> </v>
      </c>
      <c r="Y82" s="645" t="str">
        <f t="shared" si="8"/>
        <v xml:space="preserve"> </v>
      </c>
      <c r="AF82" s="109" t="s">
        <v>301</v>
      </c>
      <c r="AG82" s="109">
        <v>400</v>
      </c>
      <c r="AH82" s="109">
        <v>1200</v>
      </c>
      <c r="AI82" s="642" t="str">
        <f t="shared" si="6"/>
        <v>b4001200</v>
      </c>
      <c r="AJ82" s="109">
        <v>7.5</v>
      </c>
      <c r="AK82" s="109">
        <v>7100</v>
      </c>
      <c r="AL82" s="109">
        <v>445</v>
      </c>
      <c r="AM82" s="109">
        <v>6.5</v>
      </c>
      <c r="AN82" s="109">
        <v>654</v>
      </c>
      <c r="AO82" s="161">
        <v>50.25</v>
      </c>
      <c r="AP82" s="161">
        <v>27.846153846153847</v>
      </c>
    </row>
    <row r="83" spans="1:42">
      <c r="A83" s="644"/>
      <c r="B83" s="202">
        <f t="shared" si="7"/>
        <v>0</v>
      </c>
      <c r="C83" s="197" t="str">
        <f t="shared" si="7"/>
        <v/>
      </c>
      <c r="D83" s="197">
        <f t="shared" si="7"/>
        <v>0</v>
      </c>
      <c r="E83" s="197">
        <f t="shared" si="7"/>
        <v>0</v>
      </c>
      <c r="F83" s="198" t="str">
        <f t="shared" si="7"/>
        <v xml:space="preserve"> </v>
      </c>
      <c r="G83" s="199" t="str">
        <f t="shared" si="7"/>
        <v xml:space="preserve"> </v>
      </c>
      <c r="H83" s="200" t="str">
        <f t="shared" si="8"/>
        <v xml:space="preserve"> </v>
      </c>
      <c r="I83" s="200" t="str">
        <f t="shared" si="8"/>
        <v xml:space="preserve"> </v>
      </c>
      <c r="J83" s="200" t="str">
        <f t="shared" si="8"/>
        <v xml:space="preserve"> </v>
      </c>
      <c r="K83" s="200" t="str">
        <f t="shared" si="8"/>
        <v xml:space="preserve"> </v>
      </c>
      <c r="L83" s="200" t="str">
        <f t="shared" si="8"/>
        <v xml:space="preserve"> </v>
      </c>
      <c r="M83" s="199" t="str">
        <f t="shared" si="8"/>
        <v xml:space="preserve"> </v>
      </c>
      <c r="N83" s="200" t="str">
        <f t="shared" si="8"/>
        <v xml:space="preserve"> </v>
      </c>
      <c r="O83" s="200" t="str">
        <f t="shared" si="8"/>
        <v xml:space="preserve"> </v>
      </c>
      <c r="P83" s="200" t="str">
        <f t="shared" si="8"/>
        <v xml:space="preserve"> </v>
      </c>
      <c r="Q83" s="200" t="str">
        <f t="shared" si="8"/>
        <v xml:space="preserve"> </v>
      </c>
      <c r="R83" s="200" t="str">
        <f t="shared" si="8"/>
        <v xml:space="preserve"> </v>
      </c>
      <c r="S83" s="200" t="str">
        <f t="shared" si="8"/>
        <v xml:space="preserve"> </v>
      </c>
      <c r="T83" s="200" t="str">
        <f t="shared" si="8"/>
        <v xml:space="preserve"> </v>
      </c>
      <c r="U83" s="200" t="str">
        <f t="shared" si="8"/>
        <v xml:space="preserve"> </v>
      </c>
      <c r="V83" s="200" t="str">
        <f t="shared" si="8"/>
        <v xml:space="preserve"> </v>
      </c>
      <c r="W83" s="200" t="str">
        <f t="shared" si="8"/>
        <v xml:space="preserve"> </v>
      </c>
      <c r="X83" s="200" t="str">
        <f t="shared" si="8"/>
        <v xml:space="preserve"> </v>
      </c>
      <c r="Y83" s="645" t="str">
        <f t="shared" si="8"/>
        <v xml:space="preserve"> </v>
      </c>
      <c r="AF83" s="109" t="s">
        <v>301</v>
      </c>
      <c r="AG83" s="109">
        <v>400</v>
      </c>
      <c r="AH83" s="109">
        <v>1400</v>
      </c>
      <c r="AI83" s="642" t="str">
        <f t="shared" si="6"/>
        <v>b4001400</v>
      </c>
      <c r="AJ83" s="109">
        <v>7.5</v>
      </c>
      <c r="AK83" s="109">
        <v>7800</v>
      </c>
      <c r="AL83" s="109">
        <v>485</v>
      </c>
      <c r="AM83" s="109">
        <v>7.1</v>
      </c>
      <c r="AN83" s="109">
        <v>702</v>
      </c>
      <c r="AO83" s="161">
        <v>56.25</v>
      </c>
      <c r="AP83" s="161">
        <v>30</v>
      </c>
    </row>
    <row r="84" spans="1:42">
      <c r="A84" s="644"/>
      <c r="B84" s="202">
        <f t="shared" si="7"/>
        <v>0</v>
      </c>
      <c r="C84" s="197" t="str">
        <f t="shared" si="7"/>
        <v/>
      </c>
      <c r="D84" s="197">
        <f t="shared" si="7"/>
        <v>0</v>
      </c>
      <c r="E84" s="197">
        <f t="shared" si="7"/>
        <v>0</v>
      </c>
      <c r="F84" s="198" t="str">
        <f t="shared" si="7"/>
        <v xml:space="preserve"> </v>
      </c>
      <c r="G84" s="199" t="str">
        <f t="shared" si="7"/>
        <v xml:space="preserve"> </v>
      </c>
      <c r="H84" s="200" t="str">
        <f t="shared" si="8"/>
        <v xml:space="preserve"> </v>
      </c>
      <c r="I84" s="200" t="str">
        <f t="shared" si="8"/>
        <v xml:space="preserve"> </v>
      </c>
      <c r="J84" s="200" t="str">
        <f t="shared" si="8"/>
        <v xml:space="preserve"> </v>
      </c>
      <c r="K84" s="200" t="str">
        <f t="shared" si="8"/>
        <v xml:space="preserve"> </v>
      </c>
      <c r="L84" s="200" t="str">
        <f t="shared" si="8"/>
        <v xml:space="preserve"> </v>
      </c>
      <c r="M84" s="199" t="str">
        <f t="shared" si="8"/>
        <v xml:space="preserve"> </v>
      </c>
      <c r="N84" s="200" t="str">
        <f t="shared" si="8"/>
        <v xml:space="preserve"> </v>
      </c>
      <c r="O84" s="200" t="str">
        <f t="shared" si="8"/>
        <v xml:space="preserve"> </v>
      </c>
      <c r="P84" s="200" t="str">
        <f t="shared" si="8"/>
        <v xml:space="preserve"> </v>
      </c>
      <c r="Q84" s="200" t="str">
        <f t="shared" si="8"/>
        <v xml:space="preserve"> </v>
      </c>
      <c r="R84" s="200" t="str">
        <f t="shared" si="8"/>
        <v xml:space="preserve"> </v>
      </c>
      <c r="S84" s="200" t="str">
        <f t="shared" si="8"/>
        <v xml:space="preserve"> </v>
      </c>
      <c r="T84" s="200" t="str">
        <f t="shared" si="8"/>
        <v xml:space="preserve"> </v>
      </c>
      <c r="U84" s="200" t="str">
        <f t="shared" si="8"/>
        <v xml:space="preserve"> </v>
      </c>
      <c r="V84" s="200" t="str">
        <f t="shared" si="8"/>
        <v xml:space="preserve"> </v>
      </c>
      <c r="W84" s="200" t="str">
        <f t="shared" si="8"/>
        <v xml:space="preserve"> </v>
      </c>
      <c r="X84" s="200" t="str">
        <f t="shared" si="8"/>
        <v xml:space="preserve"> </v>
      </c>
      <c r="Y84" s="645" t="str">
        <f t="shared" si="8"/>
        <v xml:space="preserve"> </v>
      </c>
      <c r="AF84" s="109" t="s">
        <v>301</v>
      </c>
      <c r="AG84" s="109">
        <v>400</v>
      </c>
      <c r="AH84" s="109">
        <v>1600</v>
      </c>
      <c r="AI84" s="642" t="str">
        <f t="shared" si="6"/>
        <v>b4001600</v>
      </c>
      <c r="AJ84" s="109">
        <v>7.5</v>
      </c>
      <c r="AK84" s="109">
        <v>8550</v>
      </c>
      <c r="AL84" s="109">
        <v>520</v>
      </c>
      <c r="AM84" s="109">
        <v>7.6</v>
      </c>
      <c r="AN84" s="109">
        <v>746</v>
      </c>
      <c r="AO84" s="161">
        <v>62</v>
      </c>
      <c r="AP84" s="161">
        <v>32</v>
      </c>
    </row>
    <row r="85" spans="1:42">
      <c r="A85" s="644"/>
      <c r="B85" s="202">
        <f t="shared" si="7"/>
        <v>0</v>
      </c>
      <c r="C85" s="197" t="str">
        <f t="shared" si="7"/>
        <v/>
      </c>
      <c r="D85" s="197">
        <f t="shared" si="7"/>
        <v>0</v>
      </c>
      <c r="E85" s="197">
        <f t="shared" si="7"/>
        <v>0</v>
      </c>
      <c r="F85" s="198" t="str">
        <f t="shared" si="7"/>
        <v xml:space="preserve"> </v>
      </c>
      <c r="G85" s="199" t="str">
        <f t="shared" si="7"/>
        <v xml:space="preserve"> </v>
      </c>
      <c r="H85" s="200" t="str">
        <f t="shared" si="8"/>
        <v xml:space="preserve"> </v>
      </c>
      <c r="I85" s="200" t="str">
        <f t="shared" si="8"/>
        <v xml:space="preserve"> </v>
      </c>
      <c r="J85" s="200" t="str">
        <f t="shared" si="8"/>
        <v xml:space="preserve"> </v>
      </c>
      <c r="K85" s="200" t="str">
        <f t="shared" si="8"/>
        <v xml:space="preserve"> </v>
      </c>
      <c r="L85" s="200" t="str">
        <f t="shared" si="8"/>
        <v xml:space="preserve"> </v>
      </c>
      <c r="M85" s="199" t="str">
        <f t="shared" si="8"/>
        <v xml:space="preserve"> </v>
      </c>
      <c r="N85" s="200" t="str">
        <f t="shared" si="8"/>
        <v xml:space="preserve"> </v>
      </c>
      <c r="O85" s="200" t="str">
        <f t="shared" si="8"/>
        <v xml:space="preserve"> </v>
      </c>
      <c r="P85" s="200" t="str">
        <f t="shared" si="8"/>
        <v xml:space="preserve"> </v>
      </c>
      <c r="Q85" s="200" t="str">
        <f t="shared" si="8"/>
        <v xml:space="preserve"> </v>
      </c>
      <c r="R85" s="200" t="str">
        <f t="shared" si="8"/>
        <v xml:space="preserve"> </v>
      </c>
      <c r="S85" s="200" t="str">
        <f t="shared" si="8"/>
        <v xml:space="preserve"> </v>
      </c>
      <c r="T85" s="200" t="str">
        <f t="shared" si="8"/>
        <v xml:space="preserve"> </v>
      </c>
      <c r="U85" s="200" t="str">
        <f t="shared" si="8"/>
        <v xml:space="preserve"> </v>
      </c>
      <c r="V85" s="200" t="str">
        <f t="shared" si="8"/>
        <v xml:space="preserve"> </v>
      </c>
      <c r="W85" s="200" t="str">
        <f t="shared" si="8"/>
        <v xml:space="preserve"> </v>
      </c>
      <c r="X85" s="200" t="str">
        <f t="shared" si="8"/>
        <v xml:space="preserve"> </v>
      </c>
      <c r="Y85" s="645" t="str">
        <f t="shared" si="8"/>
        <v xml:space="preserve"> </v>
      </c>
      <c r="AF85" s="109" t="s">
        <v>301</v>
      </c>
      <c r="AG85" s="109">
        <v>450</v>
      </c>
      <c r="AH85" s="109">
        <v>1000</v>
      </c>
      <c r="AI85" s="642" t="str">
        <f t="shared" si="6"/>
        <v>b4501000</v>
      </c>
      <c r="AJ85" s="109">
        <v>8.1</v>
      </c>
      <c r="AK85" s="109">
        <v>7050</v>
      </c>
      <c r="AL85" s="109">
        <v>425</v>
      </c>
      <c r="AM85" s="109">
        <v>6.5</v>
      </c>
      <c r="AN85" s="109">
        <v>649</v>
      </c>
      <c r="AO85" s="161">
        <v>45.499999999999993</v>
      </c>
      <c r="AP85" s="161">
        <v>27.538461538461537</v>
      </c>
    </row>
    <row r="86" spans="1:42">
      <c r="A86" s="644"/>
      <c r="B86" s="202">
        <f t="shared" si="7"/>
        <v>0</v>
      </c>
      <c r="C86" s="197" t="str">
        <f t="shared" si="7"/>
        <v/>
      </c>
      <c r="D86" s="197">
        <f t="shared" si="7"/>
        <v>0</v>
      </c>
      <c r="E86" s="197">
        <f t="shared" si="7"/>
        <v>0</v>
      </c>
      <c r="F86" s="198" t="str">
        <f t="shared" si="7"/>
        <v xml:space="preserve"> </v>
      </c>
      <c r="G86" s="199" t="str">
        <f t="shared" si="7"/>
        <v xml:space="preserve"> </v>
      </c>
      <c r="H86" s="200" t="str">
        <f t="shared" si="8"/>
        <v xml:space="preserve"> </v>
      </c>
      <c r="I86" s="200" t="str">
        <f t="shared" si="8"/>
        <v xml:space="preserve"> </v>
      </c>
      <c r="J86" s="200" t="str">
        <f t="shared" si="8"/>
        <v xml:space="preserve"> </v>
      </c>
      <c r="K86" s="200" t="str">
        <f t="shared" si="8"/>
        <v xml:space="preserve"> </v>
      </c>
      <c r="L86" s="200" t="str">
        <f t="shared" si="8"/>
        <v xml:space="preserve"> </v>
      </c>
      <c r="M86" s="199" t="str">
        <f t="shared" si="8"/>
        <v xml:space="preserve"> </v>
      </c>
      <c r="N86" s="200" t="str">
        <f t="shared" si="8"/>
        <v xml:space="preserve"> </v>
      </c>
      <c r="O86" s="200" t="str">
        <f t="shared" si="8"/>
        <v xml:space="preserve"> </v>
      </c>
      <c r="P86" s="200" t="str">
        <f t="shared" si="8"/>
        <v xml:space="preserve"> </v>
      </c>
      <c r="Q86" s="200" t="str">
        <f t="shared" si="8"/>
        <v xml:space="preserve"> </v>
      </c>
      <c r="R86" s="200" t="str">
        <f t="shared" si="8"/>
        <v xml:space="preserve"> </v>
      </c>
      <c r="S86" s="200" t="str">
        <f t="shared" si="8"/>
        <v xml:space="preserve"> </v>
      </c>
      <c r="T86" s="200" t="str">
        <f t="shared" si="8"/>
        <v xml:space="preserve"> </v>
      </c>
      <c r="U86" s="200" t="str">
        <f t="shared" si="8"/>
        <v xml:space="preserve"> </v>
      </c>
      <c r="V86" s="200" t="str">
        <f t="shared" si="8"/>
        <v xml:space="preserve"> </v>
      </c>
      <c r="W86" s="200" t="str">
        <f t="shared" si="8"/>
        <v xml:space="preserve"> </v>
      </c>
      <c r="X86" s="200" t="str">
        <f t="shared" si="8"/>
        <v xml:space="preserve"> </v>
      </c>
      <c r="Y86" s="645" t="str">
        <f t="shared" si="8"/>
        <v xml:space="preserve"> </v>
      </c>
      <c r="AF86" s="109" t="s">
        <v>301</v>
      </c>
      <c r="AG86" s="109">
        <v>450</v>
      </c>
      <c r="AH86" s="109">
        <v>1200</v>
      </c>
      <c r="AI86" s="642" t="str">
        <f t="shared" si="6"/>
        <v>b4501200</v>
      </c>
      <c r="AJ86" s="109">
        <v>8.1</v>
      </c>
      <c r="AK86" s="109">
        <v>7800</v>
      </c>
      <c r="AL86" s="109">
        <v>470</v>
      </c>
      <c r="AM86" s="109">
        <v>7</v>
      </c>
      <c r="AN86" s="109">
        <v>701</v>
      </c>
      <c r="AO86" s="161">
        <v>51.25</v>
      </c>
      <c r="AP86" s="161">
        <v>29.538461538461537</v>
      </c>
    </row>
    <row r="87" spans="1:42">
      <c r="A87" s="644"/>
      <c r="B87" s="202">
        <f t="shared" si="7"/>
        <v>0</v>
      </c>
      <c r="C87" s="197" t="str">
        <f t="shared" si="7"/>
        <v/>
      </c>
      <c r="D87" s="197">
        <f t="shared" si="7"/>
        <v>0</v>
      </c>
      <c r="E87" s="197">
        <f t="shared" si="7"/>
        <v>0</v>
      </c>
      <c r="F87" s="198" t="str">
        <f t="shared" si="7"/>
        <v xml:space="preserve"> </v>
      </c>
      <c r="G87" s="199" t="str">
        <f t="shared" si="7"/>
        <v xml:space="preserve"> </v>
      </c>
      <c r="H87" s="200" t="str">
        <f t="shared" si="8"/>
        <v xml:space="preserve"> </v>
      </c>
      <c r="I87" s="200" t="str">
        <f t="shared" si="8"/>
        <v xml:space="preserve"> </v>
      </c>
      <c r="J87" s="200" t="str">
        <f t="shared" si="8"/>
        <v xml:space="preserve"> </v>
      </c>
      <c r="K87" s="200" t="str">
        <f t="shared" si="8"/>
        <v xml:space="preserve"> </v>
      </c>
      <c r="L87" s="200" t="str">
        <f t="shared" si="8"/>
        <v xml:space="preserve"> </v>
      </c>
      <c r="M87" s="199" t="str">
        <f t="shared" si="8"/>
        <v xml:space="preserve"> </v>
      </c>
      <c r="N87" s="200" t="str">
        <f t="shared" si="8"/>
        <v xml:space="preserve"> </v>
      </c>
      <c r="O87" s="200" t="str">
        <f t="shared" si="8"/>
        <v xml:space="preserve"> </v>
      </c>
      <c r="P87" s="200" t="str">
        <f t="shared" si="8"/>
        <v xml:space="preserve"> </v>
      </c>
      <c r="Q87" s="200" t="str">
        <f t="shared" si="8"/>
        <v xml:space="preserve"> </v>
      </c>
      <c r="R87" s="200" t="str">
        <f t="shared" si="8"/>
        <v xml:space="preserve"> </v>
      </c>
      <c r="S87" s="200" t="str">
        <f t="shared" si="8"/>
        <v xml:space="preserve"> </v>
      </c>
      <c r="T87" s="200" t="str">
        <f t="shared" si="8"/>
        <v xml:space="preserve"> </v>
      </c>
      <c r="U87" s="200" t="str">
        <f t="shared" si="8"/>
        <v xml:space="preserve"> </v>
      </c>
      <c r="V87" s="200" t="str">
        <f t="shared" si="8"/>
        <v xml:space="preserve"> </v>
      </c>
      <c r="W87" s="200" t="str">
        <f t="shared" si="8"/>
        <v xml:space="preserve"> </v>
      </c>
      <c r="X87" s="200" t="str">
        <f t="shared" si="8"/>
        <v xml:space="preserve"> </v>
      </c>
      <c r="Y87" s="645" t="str">
        <f t="shared" si="8"/>
        <v xml:space="preserve"> </v>
      </c>
      <c r="AF87" s="109" t="s">
        <v>301</v>
      </c>
      <c r="AG87" s="109">
        <v>450</v>
      </c>
      <c r="AH87" s="109">
        <v>1400</v>
      </c>
      <c r="AI87" s="642" t="str">
        <f t="shared" si="6"/>
        <v>b4501400</v>
      </c>
      <c r="AJ87" s="109">
        <v>8.1</v>
      </c>
      <c r="AK87" s="109">
        <v>8550</v>
      </c>
      <c r="AL87" s="109">
        <v>505</v>
      </c>
      <c r="AM87" s="109">
        <v>7.6</v>
      </c>
      <c r="AN87" s="109">
        <v>749</v>
      </c>
      <c r="AO87" s="161">
        <v>57</v>
      </c>
      <c r="AP87" s="161">
        <v>31.538461538461537</v>
      </c>
    </row>
    <row r="88" spans="1:42">
      <c r="A88" s="644"/>
      <c r="B88" s="202">
        <f t="shared" si="7"/>
        <v>0</v>
      </c>
      <c r="C88" s="197" t="str">
        <f t="shared" si="7"/>
        <v/>
      </c>
      <c r="D88" s="197">
        <f t="shared" si="7"/>
        <v>0</v>
      </c>
      <c r="E88" s="197">
        <f t="shared" si="7"/>
        <v>0</v>
      </c>
      <c r="F88" s="198" t="str">
        <f t="shared" si="7"/>
        <v xml:space="preserve"> </v>
      </c>
      <c r="G88" s="199" t="str">
        <f t="shared" si="7"/>
        <v xml:space="preserve"> </v>
      </c>
      <c r="H88" s="200" t="str">
        <f t="shared" si="8"/>
        <v xml:space="preserve"> </v>
      </c>
      <c r="I88" s="200" t="str">
        <f t="shared" si="8"/>
        <v xml:space="preserve"> </v>
      </c>
      <c r="J88" s="200" t="str">
        <f t="shared" si="8"/>
        <v xml:space="preserve"> </v>
      </c>
      <c r="K88" s="200" t="str">
        <f t="shared" ref="K88:Y88" si="9">IF($B88&gt;0,(IF($C88="F",K31*$G31,(K31/($F31/100))*$G31))," ")</f>
        <v xml:space="preserve"> </v>
      </c>
      <c r="L88" s="200" t="str">
        <f t="shared" si="9"/>
        <v xml:space="preserve"> </v>
      </c>
      <c r="M88" s="199" t="str">
        <f t="shared" si="9"/>
        <v xml:space="preserve"> </v>
      </c>
      <c r="N88" s="200" t="str">
        <f t="shared" si="9"/>
        <v xml:space="preserve"> </v>
      </c>
      <c r="O88" s="200" t="str">
        <f t="shared" si="9"/>
        <v xml:space="preserve"> </v>
      </c>
      <c r="P88" s="200" t="str">
        <f t="shared" si="9"/>
        <v xml:space="preserve"> </v>
      </c>
      <c r="Q88" s="200" t="str">
        <f t="shared" si="9"/>
        <v xml:space="preserve"> </v>
      </c>
      <c r="R88" s="200" t="str">
        <f t="shared" si="9"/>
        <v xml:space="preserve"> </v>
      </c>
      <c r="S88" s="200" t="str">
        <f t="shared" si="9"/>
        <v xml:space="preserve"> </v>
      </c>
      <c r="T88" s="200" t="str">
        <f t="shared" si="9"/>
        <v xml:space="preserve"> </v>
      </c>
      <c r="U88" s="200" t="str">
        <f t="shared" si="9"/>
        <v xml:space="preserve"> </v>
      </c>
      <c r="V88" s="200" t="str">
        <f t="shared" si="9"/>
        <v xml:space="preserve"> </v>
      </c>
      <c r="W88" s="200" t="str">
        <f t="shared" si="9"/>
        <v xml:space="preserve"> </v>
      </c>
      <c r="X88" s="200" t="str">
        <f t="shared" si="9"/>
        <v xml:space="preserve"> </v>
      </c>
      <c r="Y88" s="645" t="str">
        <f t="shared" si="9"/>
        <v xml:space="preserve"> </v>
      </c>
      <c r="AF88" s="109" t="s">
        <v>301</v>
      </c>
      <c r="AG88" s="109">
        <v>450</v>
      </c>
      <c r="AH88" s="109">
        <v>1600</v>
      </c>
      <c r="AI88" s="642" t="str">
        <f t="shared" si="6"/>
        <v>b4501600</v>
      </c>
      <c r="AJ88" s="109">
        <v>8.1</v>
      </c>
      <c r="AK88" s="109">
        <v>9400</v>
      </c>
      <c r="AL88" s="109">
        <v>535</v>
      </c>
      <c r="AM88" s="109">
        <v>8.1999999999999993</v>
      </c>
      <c r="AN88" s="109">
        <v>794</v>
      </c>
      <c r="AO88" s="161">
        <v>62.75</v>
      </c>
      <c r="AP88" s="161">
        <v>33.692307692307686</v>
      </c>
    </row>
    <row r="89" spans="1:42">
      <c r="A89" s="644"/>
      <c r="B89" s="202">
        <f t="shared" si="7"/>
        <v>0</v>
      </c>
      <c r="C89" s="197" t="str">
        <f t="shared" si="7"/>
        <v/>
      </c>
      <c r="D89" s="197">
        <f t="shared" si="7"/>
        <v>0</v>
      </c>
      <c r="E89" s="197">
        <f t="shared" si="7"/>
        <v>0</v>
      </c>
      <c r="F89" s="198" t="str">
        <f t="shared" si="7"/>
        <v xml:space="preserve"> </v>
      </c>
      <c r="G89" s="199" t="str">
        <f t="shared" si="7"/>
        <v xml:space="preserve"> </v>
      </c>
      <c r="H89" s="200" t="str">
        <f t="shared" ref="H89:Y89" si="10">IF($B89&gt;0,(IF($C89="F",H32*$G32,(H32/($F32/100))*$G32))," ")</f>
        <v xml:space="preserve"> </v>
      </c>
      <c r="I89" s="200" t="str">
        <f t="shared" si="10"/>
        <v xml:space="preserve"> </v>
      </c>
      <c r="J89" s="200" t="str">
        <f t="shared" si="10"/>
        <v xml:space="preserve"> </v>
      </c>
      <c r="K89" s="200" t="str">
        <f t="shared" si="10"/>
        <v xml:space="preserve"> </v>
      </c>
      <c r="L89" s="200" t="str">
        <f t="shared" si="10"/>
        <v xml:space="preserve"> </v>
      </c>
      <c r="M89" s="199" t="str">
        <f t="shared" si="10"/>
        <v xml:space="preserve"> </v>
      </c>
      <c r="N89" s="200" t="str">
        <f t="shared" si="10"/>
        <v xml:space="preserve"> </v>
      </c>
      <c r="O89" s="200" t="str">
        <f t="shared" si="10"/>
        <v xml:space="preserve"> </v>
      </c>
      <c r="P89" s="200" t="str">
        <f t="shared" si="10"/>
        <v xml:space="preserve"> </v>
      </c>
      <c r="Q89" s="200" t="str">
        <f t="shared" si="10"/>
        <v xml:space="preserve"> </v>
      </c>
      <c r="R89" s="200" t="str">
        <f t="shared" si="10"/>
        <v xml:space="preserve"> </v>
      </c>
      <c r="S89" s="200" t="str">
        <f t="shared" si="10"/>
        <v xml:space="preserve"> </v>
      </c>
      <c r="T89" s="200" t="str">
        <f t="shared" si="10"/>
        <v xml:space="preserve"> </v>
      </c>
      <c r="U89" s="200" t="str">
        <f t="shared" si="10"/>
        <v xml:space="preserve"> </v>
      </c>
      <c r="V89" s="200" t="str">
        <f t="shared" si="10"/>
        <v xml:space="preserve"> </v>
      </c>
      <c r="W89" s="200" t="str">
        <f t="shared" si="10"/>
        <v xml:space="preserve"> </v>
      </c>
      <c r="X89" s="200" t="str">
        <f t="shared" si="10"/>
        <v xml:space="preserve"> </v>
      </c>
      <c r="Y89" s="645" t="str">
        <f t="shared" si="10"/>
        <v xml:space="preserve"> </v>
      </c>
      <c r="AF89" s="109" t="s">
        <v>301</v>
      </c>
      <c r="AG89" s="109">
        <v>500</v>
      </c>
      <c r="AH89" s="109">
        <v>1000</v>
      </c>
      <c r="AI89" s="642" t="str">
        <f t="shared" si="6"/>
        <v>b5001000</v>
      </c>
      <c r="AJ89" s="109">
        <v>8.6</v>
      </c>
      <c r="AK89" s="109">
        <v>7700</v>
      </c>
      <c r="AL89" s="109">
        <v>455</v>
      </c>
      <c r="AM89" s="109">
        <v>7</v>
      </c>
      <c r="AN89" s="109">
        <v>699</v>
      </c>
      <c r="AO89" s="161">
        <v>46.749999999999993</v>
      </c>
      <c r="AP89" s="161">
        <v>29.23076923076923</v>
      </c>
    </row>
    <row r="90" spans="1:42">
      <c r="A90" s="203"/>
      <c r="B90" s="204"/>
      <c r="C90" s="204"/>
      <c r="D90" s="205">
        <f>SUM(D74:D89)</f>
        <v>0</v>
      </c>
      <c r="E90" s="206" t="e">
        <f>G90/D90</f>
        <v>#DIV/0!</v>
      </c>
      <c r="F90" s="204"/>
      <c r="G90" s="205">
        <f t="shared" ref="G90:Y90" si="11">SUM(G74:G89)</f>
        <v>0</v>
      </c>
      <c r="H90" s="207">
        <f>SUM(H74:H89)</f>
        <v>0</v>
      </c>
      <c r="I90" s="207">
        <f t="shared" ref="I90:M90" si="12">SUM(I74:I89)</f>
        <v>0</v>
      </c>
      <c r="J90" s="207">
        <f t="shared" si="12"/>
        <v>0</v>
      </c>
      <c r="K90" s="207">
        <f t="shared" si="12"/>
        <v>0</v>
      </c>
      <c r="L90" s="207">
        <f t="shared" si="12"/>
        <v>0</v>
      </c>
      <c r="M90" s="207">
        <f t="shared" si="12"/>
        <v>0</v>
      </c>
      <c r="N90" s="207">
        <f t="shared" si="11"/>
        <v>0</v>
      </c>
      <c r="O90" s="207">
        <f t="shared" si="11"/>
        <v>0</v>
      </c>
      <c r="P90" s="207">
        <f t="shared" si="11"/>
        <v>0</v>
      </c>
      <c r="Q90" s="205">
        <f t="shared" si="11"/>
        <v>0</v>
      </c>
      <c r="R90" s="205">
        <f t="shared" si="11"/>
        <v>0</v>
      </c>
      <c r="S90" s="207">
        <f t="shared" si="11"/>
        <v>0</v>
      </c>
      <c r="T90" s="207">
        <f t="shared" si="11"/>
        <v>0</v>
      </c>
      <c r="U90" s="207">
        <f t="shared" si="11"/>
        <v>0</v>
      </c>
      <c r="V90" s="207">
        <f t="shared" si="11"/>
        <v>0</v>
      </c>
      <c r="W90" s="207">
        <f t="shared" si="11"/>
        <v>0</v>
      </c>
      <c r="X90" s="207">
        <f t="shared" si="11"/>
        <v>0</v>
      </c>
      <c r="Y90" s="209">
        <f t="shared" si="11"/>
        <v>0</v>
      </c>
      <c r="AF90" s="109" t="s">
        <v>301</v>
      </c>
      <c r="AG90" s="109">
        <v>500</v>
      </c>
      <c r="AH90" s="109">
        <v>1200</v>
      </c>
      <c r="AI90" s="642" t="str">
        <f t="shared" si="6"/>
        <v>b5001200</v>
      </c>
      <c r="AJ90" s="109">
        <v>8.6</v>
      </c>
      <c r="AK90" s="109">
        <v>8500</v>
      </c>
      <c r="AL90" s="109">
        <v>495</v>
      </c>
      <c r="AM90" s="109">
        <v>7.6</v>
      </c>
      <c r="AN90" s="109">
        <v>753</v>
      </c>
      <c r="AO90" s="161">
        <v>52.249999999999993</v>
      </c>
      <c r="AP90" s="161">
        <v>31.23076923076923</v>
      </c>
    </row>
    <row r="91" spans="1:42">
      <c r="H91" s="147" t="str">
        <f>IF(A91&gt;0,(IF($C$74="F",H34*$G$17,(H34/($F$17/100))*$G$17))," ")</f>
        <v xml:space="preserve"> </v>
      </c>
      <c r="I91" s="147"/>
      <c r="AF91" s="109" t="s">
        <v>301</v>
      </c>
      <c r="AG91" s="109">
        <v>500</v>
      </c>
      <c r="AH91" s="109">
        <v>1400</v>
      </c>
      <c r="AI91" s="642" t="str">
        <f t="shared" si="6"/>
        <v>b5001400</v>
      </c>
      <c r="AJ91" s="109">
        <v>8.6</v>
      </c>
      <c r="AK91" s="109">
        <v>9350</v>
      </c>
      <c r="AL91" s="109">
        <v>530</v>
      </c>
      <c r="AM91" s="109">
        <v>8.1999999999999993</v>
      </c>
      <c r="AN91" s="109">
        <v>802</v>
      </c>
      <c r="AO91" s="161">
        <v>57.999999999999993</v>
      </c>
      <c r="AP91" s="161">
        <v>33.230769230769234</v>
      </c>
    </row>
    <row r="92" spans="1:42">
      <c r="AF92" s="109" t="s">
        <v>301</v>
      </c>
      <c r="AG92" s="109">
        <v>500</v>
      </c>
      <c r="AH92" s="109">
        <v>1600</v>
      </c>
      <c r="AI92" s="642" t="str">
        <f t="shared" si="6"/>
        <v>b5001600</v>
      </c>
      <c r="AJ92" s="109" t="s">
        <v>435</v>
      </c>
      <c r="AM92" s="109">
        <v>8.8000000000000007</v>
      </c>
      <c r="AN92" s="109">
        <v>846</v>
      </c>
      <c r="AO92" s="161">
        <v>63.499999999999993</v>
      </c>
      <c r="AP92" s="161">
        <v>35.230769230769226</v>
      </c>
    </row>
    <row r="93" spans="1:42">
      <c r="AF93" s="109" t="s">
        <v>301</v>
      </c>
      <c r="AG93" s="109">
        <v>550</v>
      </c>
      <c r="AH93" s="109">
        <v>1000</v>
      </c>
      <c r="AI93" s="642" t="str">
        <f t="shared" si="6"/>
        <v>b5501000</v>
      </c>
      <c r="AJ93" s="109">
        <v>9.1</v>
      </c>
      <c r="AK93" s="109">
        <v>8350</v>
      </c>
      <c r="AL93" s="109">
        <v>490</v>
      </c>
      <c r="AM93" s="109">
        <v>7.5</v>
      </c>
      <c r="AN93" s="109">
        <v>757</v>
      </c>
      <c r="AO93" s="161">
        <v>47.999999999999993</v>
      </c>
      <c r="AP93" s="161">
        <v>30.923076923076923</v>
      </c>
    </row>
    <row r="94" spans="1:42">
      <c r="AF94" s="109" t="s">
        <v>301</v>
      </c>
      <c r="AG94" s="109">
        <v>550</v>
      </c>
      <c r="AH94" s="109">
        <v>1200</v>
      </c>
      <c r="AI94" s="642" t="str">
        <f t="shared" si="6"/>
        <v>b5501200</v>
      </c>
      <c r="AJ94" s="109">
        <v>9.1</v>
      </c>
      <c r="AK94" s="109">
        <v>9300</v>
      </c>
      <c r="AL94" s="109">
        <v>525</v>
      </c>
      <c r="AM94" s="109">
        <v>8.1</v>
      </c>
      <c r="AN94" s="109">
        <v>813</v>
      </c>
      <c r="AO94" s="161">
        <v>53.499999999999993</v>
      </c>
      <c r="AP94" s="161">
        <v>32.92307692307692</v>
      </c>
    </row>
    <row r="95" spans="1:42">
      <c r="AF95" s="109" t="s">
        <v>301</v>
      </c>
      <c r="AG95" s="109">
        <v>550</v>
      </c>
      <c r="AH95" s="109">
        <v>1400</v>
      </c>
      <c r="AI95" s="642" t="str">
        <f t="shared" si="6"/>
        <v>b5501400</v>
      </c>
      <c r="AJ95" s="109" t="s">
        <v>436</v>
      </c>
      <c r="AM95" s="109">
        <v>8.8000000000000007</v>
      </c>
      <c r="AN95" s="109">
        <v>862</v>
      </c>
      <c r="AO95" s="161">
        <v>59</v>
      </c>
      <c r="AP95" s="161">
        <v>34.92307692307692</v>
      </c>
    </row>
    <row r="96" spans="1:42">
      <c r="AF96" s="109" t="s">
        <v>301</v>
      </c>
      <c r="AG96" s="109">
        <v>600</v>
      </c>
      <c r="AH96" s="109">
        <v>1000</v>
      </c>
      <c r="AI96" s="642" t="str">
        <f t="shared" si="6"/>
        <v>b6001000</v>
      </c>
      <c r="AJ96" s="109">
        <v>9.6</v>
      </c>
      <c r="AK96" s="109">
        <v>9150</v>
      </c>
      <c r="AL96" s="109">
        <v>520</v>
      </c>
      <c r="AM96" s="109">
        <v>8</v>
      </c>
      <c r="AN96" s="109">
        <v>827</v>
      </c>
      <c r="AO96" s="161">
        <v>49.5</v>
      </c>
      <c r="AP96" s="161">
        <v>32.769230769230766</v>
      </c>
    </row>
    <row r="97" spans="32:42">
      <c r="AF97" s="109" t="s">
        <v>301</v>
      </c>
      <c r="AG97" s="109">
        <v>600</v>
      </c>
      <c r="AH97" s="109">
        <v>1200</v>
      </c>
      <c r="AI97" s="642" t="str">
        <f t="shared" si="6"/>
        <v>b6001200</v>
      </c>
      <c r="AJ97" s="109">
        <v>9.6</v>
      </c>
      <c r="AK97" s="109">
        <v>9800</v>
      </c>
      <c r="AL97" s="109">
        <v>535</v>
      </c>
      <c r="AM97" s="109">
        <v>8.6</v>
      </c>
      <c r="AN97" s="109">
        <v>885</v>
      </c>
      <c r="AO97" s="161">
        <v>54.749999999999993</v>
      </c>
      <c r="AP97" s="161">
        <v>34.769230769230774</v>
      </c>
    </row>
    <row r="98" spans="32:42">
      <c r="AF98" s="109" t="s">
        <v>301</v>
      </c>
      <c r="AG98" s="109">
        <v>600</v>
      </c>
      <c r="AH98" s="109">
        <v>1400</v>
      </c>
      <c r="AI98" s="642" t="str">
        <f t="shared" si="6"/>
        <v>b6001400</v>
      </c>
      <c r="AJ98" s="109">
        <v>9.6</v>
      </c>
      <c r="AK98" s="109">
        <v>10670</v>
      </c>
      <c r="AL98" s="109">
        <v>565</v>
      </c>
      <c r="AM98" s="109">
        <v>9.4</v>
      </c>
      <c r="AN98" s="109">
        <v>935</v>
      </c>
      <c r="AO98" s="161">
        <v>60.25</v>
      </c>
      <c r="AP98" s="161">
        <v>36.615384615384613</v>
      </c>
    </row>
    <row r="99" spans="32:42">
      <c r="AF99" s="109" t="s">
        <v>301</v>
      </c>
      <c r="AG99" s="109">
        <v>650</v>
      </c>
      <c r="AH99" s="109">
        <v>1000</v>
      </c>
      <c r="AI99" s="642" t="str">
        <f t="shared" si="6"/>
        <v>b6501000</v>
      </c>
      <c r="AJ99" s="109">
        <v>10.1</v>
      </c>
      <c r="AK99" s="109">
        <v>9580</v>
      </c>
      <c r="AL99" s="109">
        <v>570</v>
      </c>
      <c r="AM99" s="109">
        <v>8.5</v>
      </c>
      <c r="AN99" s="109">
        <v>916</v>
      </c>
      <c r="AO99" s="161">
        <v>50.75</v>
      </c>
      <c r="AP99" s="161">
        <v>34.615384615384613</v>
      </c>
    </row>
    <row r="100" spans="32:42">
      <c r="AF100" s="109" t="s">
        <v>301</v>
      </c>
      <c r="AG100" s="109">
        <v>650</v>
      </c>
      <c r="AH100" s="109">
        <v>1200</v>
      </c>
      <c r="AI100" s="642" t="str">
        <f t="shared" si="6"/>
        <v>b6501200</v>
      </c>
      <c r="AJ100" s="109" t="s">
        <v>439</v>
      </c>
      <c r="AO100" s="161">
        <v>55.999999999999993</v>
      </c>
      <c r="AP100" s="161">
        <v>36.46153846153846</v>
      </c>
    </row>
    <row r="101" spans="32:42">
      <c r="AF101" s="109" t="s">
        <v>301</v>
      </c>
      <c r="AG101" s="109">
        <v>700</v>
      </c>
      <c r="AH101" s="109">
        <v>1000</v>
      </c>
      <c r="AI101" s="642" t="str">
        <f t="shared" si="6"/>
        <v>b7001000</v>
      </c>
      <c r="AJ101" s="109">
        <v>10.5</v>
      </c>
      <c r="AK101" s="109">
        <v>10190</v>
      </c>
      <c r="AL101" s="109">
        <v>610</v>
      </c>
      <c r="AM101" s="109">
        <v>9</v>
      </c>
      <c r="AN101" s="109">
        <v>1031</v>
      </c>
      <c r="AO101" s="161">
        <v>52.249999999999993</v>
      </c>
      <c r="AP101" s="161">
        <v>36.307692307692307</v>
      </c>
    </row>
    <row r="102" spans="32:42">
      <c r="AF102" s="109" t="s">
        <v>301</v>
      </c>
      <c r="AG102" s="109">
        <v>750</v>
      </c>
      <c r="AH102" s="109">
        <v>1000</v>
      </c>
      <c r="AI102" s="642" t="str">
        <f t="shared" ref="AI102:AI165" si="13">_xlfn.CONCAT(AF102,AG102,AH102)</f>
        <v>b7501000</v>
      </c>
      <c r="AJ102" s="109" t="s">
        <v>439</v>
      </c>
      <c r="AO102" s="161">
        <v>53.75</v>
      </c>
      <c r="AP102" s="161">
        <v>38.153846153846153</v>
      </c>
    </row>
    <row r="103" spans="32:42">
      <c r="AF103" s="109" t="s">
        <v>303</v>
      </c>
      <c r="AG103" s="109">
        <v>250</v>
      </c>
      <c r="AH103" s="109">
        <v>1000</v>
      </c>
      <c r="AI103" s="642" t="str">
        <f t="shared" si="13"/>
        <v>c2501000</v>
      </c>
      <c r="AJ103" s="109">
        <v>5.4</v>
      </c>
      <c r="AK103" s="109">
        <v>4650</v>
      </c>
      <c r="AL103" s="109">
        <v>345</v>
      </c>
      <c r="AM103" s="109">
        <v>4.5</v>
      </c>
      <c r="AN103" s="109">
        <v>473</v>
      </c>
      <c r="AO103" s="161">
        <v>42</v>
      </c>
      <c r="AP103" s="161">
        <v>20.923076923076923</v>
      </c>
    </row>
    <row r="104" spans="32:42">
      <c r="AF104" s="109" t="s">
        <v>303</v>
      </c>
      <c r="AG104" s="109">
        <v>250</v>
      </c>
      <c r="AH104" s="109">
        <v>1200</v>
      </c>
      <c r="AI104" s="642" t="str">
        <f t="shared" si="13"/>
        <v>c2501200</v>
      </c>
      <c r="AJ104" s="109">
        <v>5.4</v>
      </c>
      <c r="AK104" s="109">
        <v>5100</v>
      </c>
      <c r="AL104" s="109">
        <v>395</v>
      </c>
      <c r="AM104" s="109">
        <v>4.8</v>
      </c>
      <c r="AN104" s="109">
        <v>521</v>
      </c>
      <c r="AO104" s="161">
        <v>48.499999999999993</v>
      </c>
      <c r="AP104" s="161">
        <v>23.23076923076923</v>
      </c>
    </row>
    <row r="105" spans="32:42">
      <c r="AF105" s="109" t="s">
        <v>303</v>
      </c>
      <c r="AG105" s="109">
        <v>250</v>
      </c>
      <c r="AH105" s="109">
        <v>1400</v>
      </c>
      <c r="AI105" s="642" t="str">
        <f t="shared" si="13"/>
        <v>c2501400</v>
      </c>
      <c r="AJ105" s="109">
        <v>5.4</v>
      </c>
      <c r="AK105" s="109">
        <v>5550</v>
      </c>
      <c r="AL105" s="109">
        <v>445</v>
      </c>
      <c r="AM105" s="109">
        <v>5.2</v>
      </c>
      <c r="AN105" s="109">
        <v>567</v>
      </c>
      <c r="AO105" s="161">
        <v>55</v>
      </c>
      <c r="AP105" s="161">
        <v>25.53846153846154</v>
      </c>
    </row>
    <row r="106" spans="32:42">
      <c r="AF106" s="109" t="s">
        <v>303</v>
      </c>
      <c r="AG106" s="109">
        <v>300</v>
      </c>
      <c r="AH106" s="109">
        <v>1000</v>
      </c>
      <c r="AI106" s="642" t="str">
        <f t="shared" si="13"/>
        <v>c3001000</v>
      </c>
      <c r="AJ106" s="109">
        <v>6</v>
      </c>
      <c r="AK106" s="109">
        <v>5200</v>
      </c>
      <c r="AL106" s="109">
        <v>365</v>
      </c>
      <c r="AM106" s="109">
        <v>5</v>
      </c>
      <c r="AN106" s="109">
        <v>512</v>
      </c>
      <c r="AO106" s="161">
        <v>42.5</v>
      </c>
      <c r="AP106" s="161">
        <v>22.46153846153846</v>
      </c>
    </row>
    <row r="107" spans="32:42">
      <c r="AF107" s="109" t="s">
        <v>303</v>
      </c>
      <c r="AG107" s="109">
        <v>300</v>
      </c>
      <c r="AH107" s="109">
        <v>1200</v>
      </c>
      <c r="AI107" s="642" t="str">
        <f t="shared" si="13"/>
        <v>c3001200</v>
      </c>
      <c r="AJ107" s="109">
        <v>6</v>
      </c>
      <c r="AK107" s="109">
        <v>5650</v>
      </c>
      <c r="AL107" s="109">
        <v>415</v>
      </c>
      <c r="AM107" s="109">
        <v>5.4</v>
      </c>
      <c r="AN107" s="109">
        <v>561</v>
      </c>
      <c r="AO107" s="161">
        <v>48.75</v>
      </c>
      <c r="AP107" s="161">
        <v>24.76923076923077</v>
      </c>
    </row>
    <row r="108" spans="32:42">
      <c r="AF108" s="109" t="s">
        <v>303</v>
      </c>
      <c r="AG108" s="109">
        <v>300</v>
      </c>
      <c r="AH108" s="109">
        <v>1400</v>
      </c>
      <c r="AI108" s="642" t="str">
        <f t="shared" si="13"/>
        <v>c3001400</v>
      </c>
      <c r="AJ108" s="109">
        <v>6</v>
      </c>
      <c r="AK108" s="109">
        <v>6100</v>
      </c>
      <c r="AL108" s="109">
        <v>465</v>
      </c>
      <c r="AM108" s="109">
        <v>5.8</v>
      </c>
      <c r="AN108" s="109">
        <v>608</v>
      </c>
      <c r="AO108" s="161">
        <v>55</v>
      </c>
      <c r="AP108" s="161">
        <v>26.923076923076923</v>
      </c>
    </row>
    <row r="109" spans="32:42">
      <c r="AF109" s="109" t="s">
        <v>303</v>
      </c>
      <c r="AG109" s="109">
        <v>300</v>
      </c>
      <c r="AH109" s="109">
        <v>1600</v>
      </c>
      <c r="AI109" s="642" t="str">
        <f t="shared" si="13"/>
        <v>c3001600</v>
      </c>
      <c r="AJ109" s="109">
        <v>6</v>
      </c>
      <c r="AK109" s="109">
        <v>6650</v>
      </c>
      <c r="AL109" s="109">
        <v>510</v>
      </c>
      <c r="AM109" s="109">
        <v>6.2</v>
      </c>
      <c r="AN109" s="109">
        <v>654</v>
      </c>
      <c r="AO109" s="161">
        <v>61.25</v>
      </c>
      <c r="AP109" s="161">
        <v>29.076923076923073</v>
      </c>
    </row>
    <row r="110" spans="32:42">
      <c r="AF110" s="109" t="s">
        <v>303</v>
      </c>
      <c r="AG110" s="109">
        <v>350</v>
      </c>
      <c r="AH110" s="109">
        <v>1000</v>
      </c>
      <c r="AI110" s="642" t="str">
        <f t="shared" si="13"/>
        <v>c3501000</v>
      </c>
      <c r="AJ110" s="109">
        <v>6.6</v>
      </c>
      <c r="AK110" s="109">
        <v>5700</v>
      </c>
      <c r="AL110" s="109">
        <v>385</v>
      </c>
      <c r="AM110" s="109">
        <v>5.4</v>
      </c>
      <c r="AN110" s="109">
        <v>550</v>
      </c>
      <c r="AO110" s="161">
        <v>43.499999999999993</v>
      </c>
      <c r="AP110" s="161">
        <v>24.153846153846153</v>
      </c>
    </row>
    <row r="111" spans="32:42">
      <c r="AF111" s="109" t="s">
        <v>303</v>
      </c>
      <c r="AG111" s="109">
        <v>350</v>
      </c>
      <c r="AH111" s="109">
        <v>1200</v>
      </c>
      <c r="AI111" s="642" t="str">
        <f t="shared" si="13"/>
        <v>c3501200</v>
      </c>
      <c r="AJ111" s="109">
        <v>6.6</v>
      </c>
      <c r="AK111" s="109">
        <v>6150</v>
      </c>
      <c r="AL111" s="109">
        <v>435</v>
      </c>
      <c r="AM111" s="109">
        <v>5.9</v>
      </c>
      <c r="AN111" s="109">
        <v>600</v>
      </c>
      <c r="AO111" s="161">
        <v>49.5</v>
      </c>
      <c r="AP111" s="161">
        <v>26.30769230769231</v>
      </c>
    </row>
    <row r="112" spans="32:42">
      <c r="AF112" s="109" t="s">
        <v>303</v>
      </c>
      <c r="AG112" s="109">
        <v>350</v>
      </c>
      <c r="AH112" s="109">
        <v>1400</v>
      </c>
      <c r="AI112" s="642" t="str">
        <f t="shared" si="13"/>
        <v>c3501400</v>
      </c>
      <c r="AJ112" s="109">
        <v>6.6</v>
      </c>
      <c r="AK112" s="109">
        <v>6700</v>
      </c>
      <c r="AL112" s="109">
        <v>485</v>
      </c>
      <c r="AM112" s="109">
        <v>6.3</v>
      </c>
      <c r="AN112" s="109">
        <v>648</v>
      </c>
      <c r="AO112" s="161">
        <v>55.499999999999993</v>
      </c>
      <c r="AP112" s="161">
        <v>28.46153846153846</v>
      </c>
    </row>
    <row r="113" spans="32:42">
      <c r="AF113" s="109" t="s">
        <v>303</v>
      </c>
      <c r="AG113" s="109">
        <v>350</v>
      </c>
      <c r="AH113" s="109">
        <v>1600</v>
      </c>
      <c r="AI113" s="642" t="str">
        <f t="shared" si="13"/>
        <v>c3501600</v>
      </c>
      <c r="AJ113" s="109">
        <v>6.6</v>
      </c>
      <c r="AK113" s="109">
        <v>7250</v>
      </c>
      <c r="AL113" s="109">
        <v>535</v>
      </c>
      <c r="AM113" s="109">
        <v>6.8</v>
      </c>
      <c r="AN113" s="109">
        <v>694</v>
      </c>
      <c r="AO113" s="161">
        <v>61.5</v>
      </c>
      <c r="AP113" s="161">
        <v>30.46153846153846</v>
      </c>
    </row>
    <row r="114" spans="32:42">
      <c r="AF114" s="109" t="s">
        <v>303</v>
      </c>
      <c r="AG114" s="109">
        <v>400</v>
      </c>
      <c r="AH114" s="109">
        <v>1000</v>
      </c>
      <c r="AI114" s="642" t="str">
        <f t="shared" si="13"/>
        <v>c4001000</v>
      </c>
      <c r="AJ114" s="109">
        <v>7.2</v>
      </c>
      <c r="AK114" s="109">
        <v>6150</v>
      </c>
      <c r="AL114" s="109">
        <v>405</v>
      </c>
      <c r="AM114" s="109">
        <v>5.9</v>
      </c>
      <c r="AN114" s="109">
        <v>589</v>
      </c>
      <c r="AO114" s="161">
        <v>44.5</v>
      </c>
      <c r="AP114" s="161">
        <v>25.846153846153847</v>
      </c>
    </row>
    <row r="115" spans="32:42">
      <c r="AF115" s="109" t="s">
        <v>303</v>
      </c>
      <c r="AG115" s="109">
        <v>400</v>
      </c>
      <c r="AH115" s="109">
        <v>1200</v>
      </c>
      <c r="AI115" s="642" t="str">
        <f t="shared" si="13"/>
        <v>c4001200</v>
      </c>
      <c r="AJ115" s="109">
        <v>7.2</v>
      </c>
      <c r="AK115" s="109">
        <v>6700</v>
      </c>
      <c r="AL115" s="109">
        <v>460</v>
      </c>
      <c r="AM115" s="109">
        <v>6.4</v>
      </c>
      <c r="AN115" s="109">
        <v>640</v>
      </c>
      <c r="AO115" s="161">
        <v>50.25</v>
      </c>
      <c r="AP115" s="161">
        <v>27.846153846153847</v>
      </c>
    </row>
    <row r="116" spans="32:42">
      <c r="AF116" s="109" t="s">
        <v>303</v>
      </c>
      <c r="AG116" s="109">
        <v>400</v>
      </c>
      <c r="AH116" s="109">
        <v>1400</v>
      </c>
      <c r="AI116" s="642" t="str">
        <f t="shared" si="13"/>
        <v>c4001400</v>
      </c>
      <c r="AJ116" s="109">
        <v>7.2</v>
      </c>
      <c r="AK116" s="109">
        <v>7250</v>
      </c>
      <c r="AL116" s="109">
        <v>510</v>
      </c>
      <c r="AM116" s="109">
        <v>6.8</v>
      </c>
      <c r="AN116" s="109">
        <v>688</v>
      </c>
      <c r="AO116" s="161">
        <v>56.25</v>
      </c>
      <c r="AP116" s="161">
        <v>30</v>
      </c>
    </row>
    <row r="117" spans="32:42">
      <c r="AF117" s="109" t="s">
        <v>303</v>
      </c>
      <c r="AG117" s="109">
        <v>400</v>
      </c>
      <c r="AH117" s="109">
        <v>1600</v>
      </c>
      <c r="AI117" s="642" t="str">
        <f t="shared" si="13"/>
        <v>c4001600</v>
      </c>
      <c r="AJ117" s="109">
        <v>7.2</v>
      </c>
      <c r="AK117" s="109">
        <v>7850</v>
      </c>
      <c r="AL117" s="109">
        <v>555</v>
      </c>
      <c r="AM117" s="109">
        <v>7.3</v>
      </c>
      <c r="AN117" s="109">
        <v>734</v>
      </c>
      <c r="AO117" s="161">
        <v>62</v>
      </c>
      <c r="AP117" s="161">
        <v>32</v>
      </c>
    </row>
    <row r="118" spans="32:42">
      <c r="AF118" s="109" t="s">
        <v>303</v>
      </c>
      <c r="AG118" s="109">
        <v>450</v>
      </c>
      <c r="AH118" s="109">
        <v>1000</v>
      </c>
      <c r="AI118" s="642" t="str">
        <f t="shared" si="13"/>
        <v>c4501000</v>
      </c>
      <c r="AJ118" s="109">
        <v>7.7</v>
      </c>
      <c r="AK118" s="109">
        <v>6650</v>
      </c>
      <c r="AL118" s="109">
        <v>425</v>
      </c>
      <c r="AM118" s="109">
        <v>6.4</v>
      </c>
      <c r="AN118" s="109">
        <v>629</v>
      </c>
      <c r="AO118" s="161">
        <v>45.499999999999993</v>
      </c>
      <c r="AP118" s="161">
        <v>27.538461538461537</v>
      </c>
    </row>
    <row r="119" spans="32:42">
      <c r="AF119" s="109" t="s">
        <v>303</v>
      </c>
      <c r="AG119" s="109">
        <v>450</v>
      </c>
      <c r="AH119" s="109">
        <v>1200</v>
      </c>
      <c r="AI119" s="642" t="str">
        <f t="shared" si="13"/>
        <v>c4501200</v>
      </c>
      <c r="AJ119" s="109">
        <v>7.7</v>
      </c>
      <c r="AK119" s="109">
        <v>7200</v>
      </c>
      <c r="AL119" s="109">
        <v>480</v>
      </c>
      <c r="AM119" s="109">
        <v>6.9</v>
      </c>
      <c r="AN119" s="109">
        <v>681</v>
      </c>
      <c r="AO119" s="161">
        <v>51.25</v>
      </c>
      <c r="AP119" s="161">
        <v>29.538461538461537</v>
      </c>
    </row>
    <row r="120" spans="32:42">
      <c r="AF120" s="109" t="s">
        <v>303</v>
      </c>
      <c r="AG120" s="109">
        <v>450</v>
      </c>
      <c r="AH120" s="109">
        <v>1400</v>
      </c>
      <c r="AI120" s="642" t="str">
        <f t="shared" si="13"/>
        <v>c4501400</v>
      </c>
      <c r="AJ120" s="109">
        <v>7.7</v>
      </c>
      <c r="AK120" s="109">
        <v>7800</v>
      </c>
      <c r="AL120" s="109">
        <v>530</v>
      </c>
      <c r="AM120" s="109">
        <v>7.4</v>
      </c>
      <c r="AN120" s="109">
        <v>730</v>
      </c>
      <c r="AO120" s="161">
        <v>57</v>
      </c>
      <c r="AP120" s="161">
        <v>31.538461538461537</v>
      </c>
    </row>
    <row r="121" spans="32:42">
      <c r="AF121" s="109" t="s">
        <v>303</v>
      </c>
      <c r="AG121" s="109">
        <v>450</v>
      </c>
      <c r="AH121" s="109">
        <v>1600</v>
      </c>
      <c r="AI121" s="642" t="str">
        <f t="shared" si="13"/>
        <v>c4501600</v>
      </c>
      <c r="AJ121" s="109">
        <v>7.7</v>
      </c>
      <c r="AK121" s="109">
        <v>8550</v>
      </c>
      <c r="AL121" s="109">
        <v>580</v>
      </c>
      <c r="AM121" s="109">
        <v>7.9</v>
      </c>
      <c r="AN121" s="109">
        <v>776</v>
      </c>
      <c r="AO121" s="161">
        <v>62.75</v>
      </c>
      <c r="AP121" s="161">
        <v>33.692307692307686</v>
      </c>
    </row>
    <row r="122" spans="32:42">
      <c r="AF122" s="109" t="s">
        <v>303</v>
      </c>
      <c r="AG122" s="109">
        <v>500</v>
      </c>
      <c r="AH122" s="109">
        <v>1000</v>
      </c>
      <c r="AI122" s="642" t="str">
        <f t="shared" si="13"/>
        <v>c5001000</v>
      </c>
      <c r="AJ122" s="109">
        <v>8.1999999999999993</v>
      </c>
      <c r="AK122" s="109">
        <v>7150</v>
      </c>
      <c r="AL122" s="109">
        <v>450</v>
      </c>
      <c r="AM122" s="109">
        <v>6.8</v>
      </c>
      <c r="AN122" s="109">
        <v>672</v>
      </c>
      <c r="AO122" s="161">
        <v>46.749999999999993</v>
      </c>
      <c r="AP122" s="161">
        <v>29.23076923076923</v>
      </c>
    </row>
    <row r="123" spans="32:42">
      <c r="AF123" s="109" t="s">
        <v>303</v>
      </c>
      <c r="AG123" s="109">
        <v>500</v>
      </c>
      <c r="AH123" s="109">
        <v>1200</v>
      </c>
      <c r="AI123" s="642" t="str">
        <f t="shared" si="13"/>
        <v>c5001200</v>
      </c>
      <c r="AJ123" s="109">
        <v>8.1999999999999993</v>
      </c>
      <c r="AK123" s="109">
        <v>7750</v>
      </c>
      <c r="AL123" s="109">
        <v>505</v>
      </c>
      <c r="AM123" s="109">
        <v>7.4</v>
      </c>
      <c r="AN123" s="109">
        <v>726</v>
      </c>
      <c r="AO123" s="161">
        <v>52.249999999999993</v>
      </c>
      <c r="AP123" s="161">
        <v>31.23076923076923</v>
      </c>
    </row>
    <row r="124" spans="32:42">
      <c r="AF124" s="109" t="s">
        <v>303</v>
      </c>
      <c r="AG124" s="109">
        <v>500</v>
      </c>
      <c r="AH124" s="109">
        <v>1400</v>
      </c>
      <c r="AI124" s="642" t="str">
        <f t="shared" si="13"/>
        <v>c5001400</v>
      </c>
      <c r="AJ124" s="109">
        <v>8.1999999999999993</v>
      </c>
      <c r="AK124" s="109">
        <v>8400</v>
      </c>
      <c r="AL124" s="109">
        <v>560</v>
      </c>
      <c r="AM124" s="109">
        <v>7.9</v>
      </c>
      <c r="AN124" s="109">
        <v>775</v>
      </c>
      <c r="AO124" s="161">
        <v>57.999999999999993</v>
      </c>
      <c r="AP124" s="161">
        <v>33.230769230769234</v>
      </c>
    </row>
    <row r="125" spans="32:42">
      <c r="AF125" s="109" t="s">
        <v>303</v>
      </c>
      <c r="AG125" s="109">
        <v>500</v>
      </c>
      <c r="AH125" s="109">
        <v>1600</v>
      </c>
      <c r="AI125" s="642" t="str">
        <f t="shared" si="13"/>
        <v>c5001600</v>
      </c>
      <c r="AJ125" s="109">
        <v>8.1999999999999993</v>
      </c>
      <c r="AK125" s="109">
        <v>9050</v>
      </c>
      <c r="AL125" s="109">
        <v>605</v>
      </c>
      <c r="AM125" s="109">
        <v>8.5</v>
      </c>
      <c r="AN125" s="109">
        <v>821</v>
      </c>
      <c r="AO125" s="161">
        <v>63.499999999999993</v>
      </c>
      <c r="AP125" s="161">
        <v>35.230769230769226</v>
      </c>
    </row>
    <row r="126" spans="32:42">
      <c r="AF126" s="109" t="s">
        <v>303</v>
      </c>
      <c r="AG126" s="109">
        <v>550</v>
      </c>
      <c r="AH126" s="109">
        <v>1000</v>
      </c>
      <c r="AI126" s="642" t="str">
        <f t="shared" si="13"/>
        <v>c5501000</v>
      </c>
      <c r="AJ126" s="109">
        <v>8.6999999999999993</v>
      </c>
      <c r="AK126" s="109">
        <v>7650</v>
      </c>
      <c r="AL126" s="109">
        <v>480</v>
      </c>
      <c r="AM126" s="109">
        <v>7.3</v>
      </c>
      <c r="AN126" s="109">
        <v>720</v>
      </c>
      <c r="AO126" s="161">
        <v>47.999999999999993</v>
      </c>
      <c r="AP126" s="161">
        <v>30.923076923076923</v>
      </c>
    </row>
    <row r="127" spans="32:42">
      <c r="AF127" s="109" t="s">
        <v>303</v>
      </c>
      <c r="AG127" s="109">
        <v>550</v>
      </c>
      <c r="AH127" s="109">
        <v>1200</v>
      </c>
      <c r="AI127" s="642" t="str">
        <f t="shared" si="13"/>
        <v>c5501200</v>
      </c>
      <c r="AJ127" s="109">
        <v>8.6999999999999993</v>
      </c>
      <c r="AK127" s="109">
        <v>8300</v>
      </c>
      <c r="AL127" s="109">
        <v>535</v>
      </c>
      <c r="AM127" s="109">
        <v>7.9</v>
      </c>
      <c r="AN127" s="109">
        <v>774</v>
      </c>
      <c r="AO127" s="161">
        <v>53.499999999999993</v>
      </c>
      <c r="AP127" s="161">
        <v>32.92307692307692</v>
      </c>
    </row>
    <row r="128" spans="32:42">
      <c r="AF128" s="109" t="s">
        <v>303</v>
      </c>
      <c r="AG128" s="109">
        <v>550</v>
      </c>
      <c r="AH128" s="109">
        <v>1400</v>
      </c>
      <c r="AI128" s="642" t="str">
        <f t="shared" si="13"/>
        <v>c5501400</v>
      </c>
      <c r="AJ128" s="109">
        <v>8.6999999999999993</v>
      </c>
      <c r="AK128" s="109">
        <v>9000</v>
      </c>
      <c r="AL128" s="109">
        <v>585</v>
      </c>
      <c r="AM128" s="109">
        <v>8.5</v>
      </c>
      <c r="AN128" s="109">
        <v>824</v>
      </c>
      <c r="AO128" s="161">
        <v>59</v>
      </c>
      <c r="AP128" s="161">
        <v>34.92307692307692</v>
      </c>
    </row>
    <row r="129" spans="32:42">
      <c r="AF129" s="109" t="s">
        <v>303</v>
      </c>
      <c r="AG129" s="109">
        <v>600</v>
      </c>
      <c r="AH129" s="109">
        <v>1000</v>
      </c>
      <c r="AI129" s="642" t="str">
        <f t="shared" si="13"/>
        <v>c6001000</v>
      </c>
      <c r="AJ129" s="109">
        <v>9.1999999999999993</v>
      </c>
      <c r="AK129" s="109">
        <v>8150</v>
      </c>
      <c r="AL129" s="109">
        <v>510</v>
      </c>
      <c r="AM129" s="109">
        <v>7.8</v>
      </c>
      <c r="AN129" s="109">
        <v>773</v>
      </c>
      <c r="AO129" s="161">
        <v>49.5</v>
      </c>
      <c r="AP129" s="161">
        <v>32.769230769230766</v>
      </c>
    </row>
    <row r="130" spans="32:42">
      <c r="AF130" s="109" t="s">
        <v>303</v>
      </c>
      <c r="AG130" s="109">
        <v>600</v>
      </c>
      <c r="AH130" s="109">
        <v>1200</v>
      </c>
      <c r="AI130" s="642" t="str">
        <f t="shared" si="13"/>
        <v>c6001200</v>
      </c>
      <c r="AJ130" s="109">
        <v>9.1999999999999993</v>
      </c>
      <c r="AK130" s="109">
        <v>8850</v>
      </c>
      <c r="AL130" s="109">
        <v>565</v>
      </c>
      <c r="AM130" s="109">
        <v>8.4</v>
      </c>
      <c r="AN130" s="109">
        <v>828</v>
      </c>
      <c r="AO130" s="161">
        <v>54.749999999999993</v>
      </c>
      <c r="AP130" s="161">
        <v>34.769230769230774</v>
      </c>
    </row>
    <row r="131" spans="32:42">
      <c r="AF131" s="109" t="s">
        <v>303</v>
      </c>
      <c r="AG131" s="109">
        <v>600</v>
      </c>
      <c r="AH131" s="109">
        <v>1400</v>
      </c>
      <c r="AI131" s="642" t="str">
        <f t="shared" si="13"/>
        <v>c6001400</v>
      </c>
      <c r="AJ131" s="109">
        <v>9.1999999999999993</v>
      </c>
      <c r="AK131" s="109">
        <v>9600</v>
      </c>
      <c r="AL131" s="109">
        <v>615</v>
      </c>
      <c r="AM131" s="109">
        <v>9.1</v>
      </c>
      <c r="AN131" s="109">
        <v>878</v>
      </c>
      <c r="AO131" s="161">
        <v>60.25</v>
      </c>
      <c r="AP131" s="161">
        <v>36.615384615384613</v>
      </c>
    </row>
    <row r="132" spans="32:42">
      <c r="AF132" s="109" t="s">
        <v>303</v>
      </c>
      <c r="AG132" s="109">
        <v>650</v>
      </c>
      <c r="AH132" s="109">
        <v>1000</v>
      </c>
      <c r="AI132" s="642" t="str">
        <f t="shared" si="13"/>
        <v>c6501000</v>
      </c>
      <c r="AJ132" s="109">
        <v>9.6</v>
      </c>
      <c r="AK132" s="109">
        <v>8700</v>
      </c>
      <c r="AL132" s="109">
        <v>540</v>
      </c>
      <c r="AM132" s="109">
        <v>8.3000000000000007</v>
      </c>
      <c r="AN132" s="109">
        <v>832</v>
      </c>
      <c r="AO132" s="161">
        <v>50.75</v>
      </c>
      <c r="AP132" s="161">
        <v>34.615384615384613</v>
      </c>
    </row>
    <row r="133" spans="32:42">
      <c r="AF133" s="109" t="s">
        <v>303</v>
      </c>
      <c r="AG133" s="109">
        <v>650</v>
      </c>
      <c r="AH133" s="109">
        <v>1200</v>
      </c>
      <c r="AI133" s="642" t="str">
        <f t="shared" si="13"/>
        <v>c6501200</v>
      </c>
      <c r="AJ133" s="109">
        <v>9.6</v>
      </c>
      <c r="AK133" s="109">
        <v>9500</v>
      </c>
      <c r="AL133" s="109">
        <v>595</v>
      </c>
      <c r="AM133" s="109">
        <v>9</v>
      </c>
      <c r="AN133" s="109">
        <v>887</v>
      </c>
      <c r="AO133" s="161">
        <v>55.999999999999993</v>
      </c>
      <c r="AP133" s="161">
        <v>36.46153846153846</v>
      </c>
    </row>
    <row r="134" spans="32:42">
      <c r="AF134" s="109" t="s">
        <v>303</v>
      </c>
      <c r="AG134" s="109">
        <v>700</v>
      </c>
      <c r="AH134" s="109">
        <v>1000</v>
      </c>
      <c r="AI134" s="642" t="str">
        <f t="shared" si="13"/>
        <v>c7001000</v>
      </c>
      <c r="AJ134" s="109">
        <v>10</v>
      </c>
      <c r="AK134" s="109">
        <v>9350</v>
      </c>
      <c r="AL134" s="109">
        <v>570</v>
      </c>
      <c r="AM134" s="109">
        <v>8.9</v>
      </c>
      <c r="AN134" s="109">
        <v>894</v>
      </c>
      <c r="AO134" s="161">
        <v>52.249999999999993</v>
      </c>
      <c r="AP134" s="161">
        <v>36.307692307692307</v>
      </c>
    </row>
    <row r="135" spans="32:42">
      <c r="AF135" s="109" t="s">
        <v>303</v>
      </c>
      <c r="AG135" s="109">
        <v>750</v>
      </c>
      <c r="AH135" s="109">
        <v>1000</v>
      </c>
      <c r="AI135" s="642" t="str">
        <f t="shared" si="13"/>
        <v>c7501000</v>
      </c>
      <c r="AJ135" s="109">
        <v>10.5</v>
      </c>
      <c r="AK135" s="109">
        <v>10100</v>
      </c>
      <c r="AL135" s="109">
        <v>575</v>
      </c>
      <c r="AM135" s="109">
        <v>9.6</v>
      </c>
      <c r="AN135" s="109">
        <v>941</v>
      </c>
      <c r="AO135" s="161">
        <v>53.75</v>
      </c>
      <c r="AP135" s="161">
        <v>38.153846153846153</v>
      </c>
    </row>
    <row r="136" spans="32:42">
      <c r="AF136" s="109" t="s">
        <v>306</v>
      </c>
      <c r="AG136" s="109">
        <v>250</v>
      </c>
      <c r="AH136" s="109">
        <v>1000</v>
      </c>
      <c r="AI136" s="642" t="str">
        <f t="shared" si="13"/>
        <v>d2501000</v>
      </c>
      <c r="AJ136" s="109">
        <v>5.0999999999999996</v>
      </c>
      <c r="AK136" s="109">
        <v>4650</v>
      </c>
      <c r="AL136" s="109">
        <v>345</v>
      </c>
      <c r="AM136" s="109">
        <v>4.5</v>
      </c>
      <c r="AN136" s="109">
        <v>473</v>
      </c>
      <c r="AO136" s="161">
        <v>42</v>
      </c>
      <c r="AP136" s="161">
        <v>20.923076923076923</v>
      </c>
    </row>
    <row r="137" spans="32:42">
      <c r="AF137" s="109" t="s">
        <v>306</v>
      </c>
      <c r="AG137" s="109">
        <v>250</v>
      </c>
      <c r="AH137" s="109">
        <v>1200</v>
      </c>
      <c r="AI137" s="642" t="str">
        <f t="shared" si="13"/>
        <v>d2501200</v>
      </c>
      <c r="AJ137" s="109">
        <v>5.0999999999999996</v>
      </c>
      <c r="AK137" s="109">
        <v>5100</v>
      </c>
      <c r="AL137" s="109">
        <v>395</v>
      </c>
      <c r="AM137" s="109">
        <v>4.8</v>
      </c>
      <c r="AN137" s="109">
        <v>521</v>
      </c>
      <c r="AO137" s="161">
        <v>48.499999999999993</v>
      </c>
      <c r="AP137" s="161">
        <v>23.23076923076923</v>
      </c>
    </row>
    <row r="138" spans="32:42">
      <c r="AF138" s="109" t="s">
        <v>306</v>
      </c>
      <c r="AG138" s="109">
        <v>250</v>
      </c>
      <c r="AH138" s="109">
        <v>1400</v>
      </c>
      <c r="AI138" s="642" t="str">
        <f t="shared" si="13"/>
        <v>d2501400</v>
      </c>
      <c r="AJ138" s="109">
        <v>5.0999999999999996</v>
      </c>
      <c r="AK138" s="109">
        <v>5550</v>
      </c>
      <c r="AL138" s="109">
        <v>445</v>
      </c>
      <c r="AM138" s="109">
        <v>5.2</v>
      </c>
      <c r="AN138" s="109">
        <v>567</v>
      </c>
      <c r="AO138" s="161">
        <v>55</v>
      </c>
      <c r="AP138" s="161">
        <v>25.53846153846154</v>
      </c>
    </row>
    <row r="139" spans="32:42">
      <c r="AF139" s="109" t="s">
        <v>306</v>
      </c>
      <c r="AG139" s="109">
        <v>300</v>
      </c>
      <c r="AH139" s="109">
        <v>1000</v>
      </c>
      <c r="AI139" s="642" t="str">
        <f t="shared" si="13"/>
        <v>d3001000</v>
      </c>
      <c r="AJ139" s="109">
        <v>5.7</v>
      </c>
      <c r="AK139" s="109">
        <v>5200</v>
      </c>
      <c r="AL139" s="109">
        <v>365</v>
      </c>
      <c r="AM139" s="109">
        <v>5</v>
      </c>
      <c r="AN139" s="109">
        <v>512</v>
      </c>
      <c r="AO139" s="161">
        <v>42.5</v>
      </c>
      <c r="AP139" s="161">
        <v>22.46153846153846</v>
      </c>
    </row>
    <row r="140" spans="32:42">
      <c r="AF140" s="109" t="s">
        <v>306</v>
      </c>
      <c r="AG140" s="109">
        <v>300</v>
      </c>
      <c r="AH140" s="109">
        <v>1200</v>
      </c>
      <c r="AI140" s="642" t="str">
        <f t="shared" si="13"/>
        <v>d3001200</v>
      </c>
      <c r="AJ140" s="109">
        <v>5.7</v>
      </c>
      <c r="AK140" s="109">
        <v>5650</v>
      </c>
      <c r="AL140" s="109">
        <v>415</v>
      </c>
      <c r="AM140" s="109">
        <v>5.4</v>
      </c>
      <c r="AN140" s="109">
        <v>561</v>
      </c>
      <c r="AO140" s="161">
        <v>48.75</v>
      </c>
      <c r="AP140" s="161">
        <v>24.76923076923077</v>
      </c>
    </row>
    <row r="141" spans="32:42">
      <c r="AF141" s="109" t="s">
        <v>306</v>
      </c>
      <c r="AG141" s="109">
        <v>300</v>
      </c>
      <c r="AH141" s="109">
        <v>1400</v>
      </c>
      <c r="AI141" s="642" t="str">
        <f t="shared" si="13"/>
        <v>d3001400</v>
      </c>
      <c r="AJ141" s="109">
        <v>5.7</v>
      </c>
      <c r="AK141" s="109">
        <v>6100</v>
      </c>
      <c r="AL141" s="109">
        <v>465</v>
      </c>
      <c r="AM141" s="109">
        <v>5.8</v>
      </c>
      <c r="AN141" s="109">
        <v>608</v>
      </c>
      <c r="AO141" s="161">
        <v>55</v>
      </c>
      <c r="AP141" s="161">
        <v>26.923076923076923</v>
      </c>
    </row>
    <row r="142" spans="32:42">
      <c r="AF142" s="109" t="s">
        <v>306</v>
      </c>
      <c r="AG142" s="109">
        <v>300</v>
      </c>
      <c r="AH142" s="109">
        <v>1600</v>
      </c>
      <c r="AI142" s="642" t="str">
        <f t="shared" si="13"/>
        <v>d3001600</v>
      </c>
      <c r="AJ142" s="109">
        <v>5.7</v>
      </c>
      <c r="AK142" s="109">
        <v>6650</v>
      </c>
      <c r="AL142" s="109">
        <v>510</v>
      </c>
      <c r="AM142" s="109">
        <v>6.2</v>
      </c>
      <c r="AN142" s="109">
        <v>654</v>
      </c>
      <c r="AO142" s="161">
        <v>61.25</v>
      </c>
      <c r="AP142" s="161">
        <v>29.076923076923073</v>
      </c>
    </row>
    <row r="143" spans="32:42">
      <c r="AF143" s="109" t="s">
        <v>306</v>
      </c>
      <c r="AG143" s="109">
        <v>350</v>
      </c>
      <c r="AH143" s="109">
        <v>1000</v>
      </c>
      <c r="AI143" s="642" t="str">
        <f t="shared" si="13"/>
        <v>d3501000</v>
      </c>
      <c r="AJ143" s="109">
        <v>6.3</v>
      </c>
      <c r="AK143" s="109">
        <v>5700</v>
      </c>
      <c r="AL143" s="109">
        <v>385</v>
      </c>
      <c r="AM143" s="109">
        <v>5.4</v>
      </c>
      <c r="AN143" s="109">
        <v>550</v>
      </c>
      <c r="AO143" s="161">
        <v>43.499999999999993</v>
      </c>
      <c r="AP143" s="161">
        <v>24.153846153846153</v>
      </c>
    </row>
    <row r="144" spans="32:42">
      <c r="AF144" s="109" t="s">
        <v>306</v>
      </c>
      <c r="AG144" s="109">
        <v>350</v>
      </c>
      <c r="AH144" s="109">
        <v>1200</v>
      </c>
      <c r="AI144" s="642" t="str">
        <f t="shared" si="13"/>
        <v>d3501200</v>
      </c>
      <c r="AJ144" s="109">
        <v>6.3</v>
      </c>
      <c r="AK144" s="109">
        <v>6150</v>
      </c>
      <c r="AL144" s="109">
        <v>435</v>
      </c>
      <c r="AM144" s="109">
        <v>5.9</v>
      </c>
      <c r="AN144" s="109">
        <v>600</v>
      </c>
      <c r="AO144" s="161">
        <v>49.5</v>
      </c>
      <c r="AP144" s="161">
        <v>26.30769230769231</v>
      </c>
    </row>
    <row r="145" spans="32:42">
      <c r="AF145" s="109" t="s">
        <v>306</v>
      </c>
      <c r="AG145" s="109">
        <v>350</v>
      </c>
      <c r="AH145" s="109">
        <v>1400</v>
      </c>
      <c r="AI145" s="642" t="str">
        <f t="shared" si="13"/>
        <v>d3501400</v>
      </c>
      <c r="AJ145" s="109">
        <v>6.3</v>
      </c>
      <c r="AK145" s="109">
        <v>6700</v>
      </c>
      <c r="AL145" s="109">
        <v>485</v>
      </c>
      <c r="AM145" s="109">
        <v>6.3</v>
      </c>
      <c r="AN145" s="109">
        <v>648</v>
      </c>
      <c r="AO145" s="161">
        <v>55.499999999999993</v>
      </c>
      <c r="AP145" s="161">
        <v>28.46153846153846</v>
      </c>
    </row>
    <row r="146" spans="32:42">
      <c r="AF146" s="109" t="s">
        <v>306</v>
      </c>
      <c r="AG146" s="109">
        <v>350</v>
      </c>
      <c r="AH146" s="109">
        <v>1600</v>
      </c>
      <c r="AI146" s="642" t="str">
        <f t="shared" si="13"/>
        <v>d3501600</v>
      </c>
      <c r="AJ146" s="109">
        <v>6.3</v>
      </c>
      <c r="AK146" s="109">
        <v>7250</v>
      </c>
      <c r="AL146" s="109">
        <v>535</v>
      </c>
      <c r="AM146" s="109">
        <v>6.8</v>
      </c>
      <c r="AN146" s="109">
        <v>694</v>
      </c>
      <c r="AO146" s="161">
        <v>61.5</v>
      </c>
      <c r="AP146" s="161">
        <v>30.46153846153846</v>
      </c>
    </row>
    <row r="147" spans="32:42">
      <c r="AF147" s="109" t="s">
        <v>306</v>
      </c>
      <c r="AG147" s="109">
        <v>400</v>
      </c>
      <c r="AH147" s="109">
        <v>1000</v>
      </c>
      <c r="AI147" s="642" t="str">
        <f t="shared" si="13"/>
        <v>d4001000</v>
      </c>
      <c r="AJ147" s="109">
        <v>6.8</v>
      </c>
      <c r="AK147" s="109">
        <v>6150</v>
      </c>
      <c r="AL147" s="109">
        <v>405</v>
      </c>
      <c r="AM147" s="109">
        <v>5.9</v>
      </c>
      <c r="AN147" s="109">
        <v>589</v>
      </c>
      <c r="AO147" s="161">
        <v>44.5</v>
      </c>
      <c r="AP147" s="161">
        <v>25.846153846153847</v>
      </c>
    </row>
    <row r="148" spans="32:42">
      <c r="AF148" s="109" t="s">
        <v>306</v>
      </c>
      <c r="AG148" s="109">
        <v>400</v>
      </c>
      <c r="AH148" s="109">
        <v>1200</v>
      </c>
      <c r="AI148" s="642" t="str">
        <f t="shared" si="13"/>
        <v>d4001200</v>
      </c>
      <c r="AJ148" s="109">
        <v>6.8</v>
      </c>
      <c r="AK148" s="109">
        <v>6700</v>
      </c>
      <c r="AL148" s="109">
        <v>460</v>
      </c>
      <c r="AM148" s="109">
        <v>6.4</v>
      </c>
      <c r="AN148" s="109">
        <v>640</v>
      </c>
      <c r="AO148" s="161">
        <v>50.25</v>
      </c>
      <c r="AP148" s="161">
        <v>27.846153846153847</v>
      </c>
    </row>
    <row r="149" spans="32:42">
      <c r="AF149" s="109" t="s">
        <v>306</v>
      </c>
      <c r="AG149" s="109">
        <v>400</v>
      </c>
      <c r="AH149" s="109">
        <v>1400</v>
      </c>
      <c r="AI149" s="642" t="str">
        <f t="shared" si="13"/>
        <v>d4001400</v>
      </c>
      <c r="AJ149" s="109">
        <v>6.8</v>
      </c>
      <c r="AK149" s="109">
        <v>7250</v>
      </c>
      <c r="AL149" s="109">
        <v>510</v>
      </c>
      <c r="AM149" s="109">
        <v>6.8</v>
      </c>
      <c r="AN149" s="109">
        <v>688</v>
      </c>
      <c r="AO149" s="161">
        <v>56.25</v>
      </c>
      <c r="AP149" s="161">
        <v>30</v>
      </c>
    </row>
    <row r="150" spans="32:42">
      <c r="AF150" s="109" t="s">
        <v>306</v>
      </c>
      <c r="AG150" s="109">
        <v>400</v>
      </c>
      <c r="AH150" s="109">
        <v>1600</v>
      </c>
      <c r="AI150" s="642" t="str">
        <f t="shared" si="13"/>
        <v>d4001600</v>
      </c>
      <c r="AJ150" s="109">
        <v>6.8</v>
      </c>
      <c r="AK150" s="109">
        <v>7850</v>
      </c>
      <c r="AL150" s="109">
        <v>555</v>
      </c>
      <c r="AM150" s="109">
        <v>7.3</v>
      </c>
      <c r="AN150" s="109">
        <v>734</v>
      </c>
      <c r="AO150" s="161">
        <v>62</v>
      </c>
      <c r="AP150" s="161">
        <v>32</v>
      </c>
    </row>
    <row r="151" spans="32:42">
      <c r="AF151" s="109" t="s">
        <v>306</v>
      </c>
      <c r="AG151" s="109">
        <v>450</v>
      </c>
      <c r="AH151" s="109">
        <v>1000</v>
      </c>
      <c r="AI151" s="642" t="str">
        <f t="shared" si="13"/>
        <v>d4501000</v>
      </c>
      <c r="AJ151" s="109">
        <v>7.3</v>
      </c>
      <c r="AK151" s="109">
        <v>6650</v>
      </c>
      <c r="AL151" s="109">
        <v>425</v>
      </c>
      <c r="AM151" s="109">
        <v>6.4</v>
      </c>
      <c r="AN151" s="109">
        <v>629</v>
      </c>
      <c r="AO151" s="161">
        <v>45.499999999999993</v>
      </c>
      <c r="AP151" s="161">
        <v>27.538461538461537</v>
      </c>
    </row>
    <row r="152" spans="32:42">
      <c r="AF152" s="109" t="s">
        <v>306</v>
      </c>
      <c r="AG152" s="109">
        <v>450</v>
      </c>
      <c r="AH152" s="109">
        <v>1200</v>
      </c>
      <c r="AI152" s="642" t="str">
        <f t="shared" si="13"/>
        <v>d4501200</v>
      </c>
      <c r="AJ152" s="109">
        <v>7.3</v>
      </c>
      <c r="AK152" s="109">
        <v>7200</v>
      </c>
      <c r="AL152" s="109">
        <v>480</v>
      </c>
      <c r="AM152" s="109">
        <v>6.9</v>
      </c>
      <c r="AN152" s="109">
        <v>681</v>
      </c>
      <c r="AO152" s="161">
        <v>51.25</v>
      </c>
      <c r="AP152" s="161">
        <v>29.538461538461537</v>
      </c>
    </row>
    <row r="153" spans="32:42">
      <c r="AF153" s="109" t="s">
        <v>306</v>
      </c>
      <c r="AG153" s="109">
        <v>450</v>
      </c>
      <c r="AH153" s="109">
        <v>1400</v>
      </c>
      <c r="AI153" s="642" t="str">
        <f t="shared" si="13"/>
        <v>d4501400</v>
      </c>
      <c r="AJ153" s="109">
        <v>7.3</v>
      </c>
      <c r="AK153" s="109">
        <v>7800</v>
      </c>
      <c r="AL153" s="109">
        <v>530</v>
      </c>
      <c r="AM153" s="109">
        <v>7.4</v>
      </c>
      <c r="AN153" s="109">
        <v>730</v>
      </c>
      <c r="AO153" s="161">
        <v>57</v>
      </c>
      <c r="AP153" s="161">
        <v>31.538461538461537</v>
      </c>
    </row>
    <row r="154" spans="32:42">
      <c r="AF154" s="109" t="s">
        <v>306</v>
      </c>
      <c r="AG154" s="109">
        <v>450</v>
      </c>
      <c r="AH154" s="109">
        <v>1600</v>
      </c>
      <c r="AI154" s="642" t="str">
        <f t="shared" si="13"/>
        <v>d4501600</v>
      </c>
      <c r="AJ154" s="109">
        <v>7.3</v>
      </c>
      <c r="AK154" s="109">
        <v>8550</v>
      </c>
      <c r="AL154" s="109">
        <v>580</v>
      </c>
      <c r="AM154" s="109">
        <v>7.9</v>
      </c>
      <c r="AN154" s="109">
        <v>776</v>
      </c>
      <c r="AO154" s="161">
        <v>62.75</v>
      </c>
      <c r="AP154" s="161">
        <v>33.692307692307686</v>
      </c>
    </row>
    <row r="155" spans="32:42">
      <c r="AF155" s="109" t="s">
        <v>306</v>
      </c>
      <c r="AG155" s="109">
        <v>500</v>
      </c>
      <c r="AH155" s="109">
        <v>1000</v>
      </c>
      <c r="AI155" s="642" t="str">
        <f t="shared" si="13"/>
        <v>d5001000</v>
      </c>
      <c r="AJ155" s="109">
        <v>7.8</v>
      </c>
      <c r="AK155" s="109">
        <v>7150</v>
      </c>
      <c r="AL155" s="109">
        <v>450</v>
      </c>
      <c r="AM155" s="109">
        <v>6.8</v>
      </c>
      <c r="AN155" s="109">
        <v>672</v>
      </c>
      <c r="AO155" s="161">
        <v>46.749999999999993</v>
      </c>
      <c r="AP155" s="161">
        <v>29.23076923076923</v>
      </c>
    </row>
    <row r="156" spans="32:42">
      <c r="AF156" s="109" t="s">
        <v>306</v>
      </c>
      <c r="AG156" s="109">
        <v>500</v>
      </c>
      <c r="AH156" s="109">
        <v>1200</v>
      </c>
      <c r="AI156" s="642" t="str">
        <f t="shared" si="13"/>
        <v>d5001200</v>
      </c>
      <c r="AJ156" s="109">
        <v>7.8</v>
      </c>
      <c r="AK156" s="109">
        <v>7750</v>
      </c>
      <c r="AL156" s="109">
        <v>505</v>
      </c>
      <c r="AM156" s="109">
        <v>7.4</v>
      </c>
      <c r="AN156" s="109">
        <v>726</v>
      </c>
      <c r="AO156" s="161">
        <v>52.249999999999993</v>
      </c>
      <c r="AP156" s="161">
        <v>31.23076923076923</v>
      </c>
    </row>
    <row r="157" spans="32:42">
      <c r="AF157" s="109" t="s">
        <v>306</v>
      </c>
      <c r="AG157" s="109">
        <v>500</v>
      </c>
      <c r="AH157" s="109">
        <v>1400</v>
      </c>
      <c r="AI157" s="642" t="str">
        <f t="shared" si="13"/>
        <v>d5001400</v>
      </c>
      <c r="AJ157" s="109">
        <v>7.8</v>
      </c>
      <c r="AK157" s="109">
        <v>8400</v>
      </c>
      <c r="AL157" s="109">
        <v>560</v>
      </c>
      <c r="AM157" s="109">
        <v>7.9</v>
      </c>
      <c r="AN157" s="109">
        <v>775</v>
      </c>
      <c r="AO157" s="161">
        <v>57.999999999999993</v>
      </c>
      <c r="AP157" s="161">
        <v>33.230769230769234</v>
      </c>
    </row>
    <row r="158" spans="32:42">
      <c r="AF158" s="109" t="s">
        <v>306</v>
      </c>
      <c r="AG158" s="109">
        <v>500</v>
      </c>
      <c r="AH158" s="109">
        <v>1600</v>
      </c>
      <c r="AI158" s="642" t="str">
        <f t="shared" si="13"/>
        <v>d5001600</v>
      </c>
      <c r="AJ158" s="109">
        <v>7.8</v>
      </c>
      <c r="AK158" s="109">
        <v>9050</v>
      </c>
      <c r="AL158" s="109">
        <v>605</v>
      </c>
      <c r="AM158" s="109">
        <v>8.5</v>
      </c>
      <c r="AN158" s="109">
        <v>821</v>
      </c>
      <c r="AO158" s="161">
        <v>63.499999999999993</v>
      </c>
      <c r="AP158" s="161">
        <v>35.230769230769226</v>
      </c>
    </row>
    <row r="159" spans="32:42">
      <c r="AF159" s="109" t="s">
        <v>306</v>
      </c>
      <c r="AG159" s="109">
        <v>550</v>
      </c>
      <c r="AH159" s="109">
        <v>1000</v>
      </c>
      <c r="AI159" s="642" t="str">
        <f t="shared" si="13"/>
        <v>d5501000</v>
      </c>
      <c r="AJ159" s="109">
        <v>8.3000000000000007</v>
      </c>
      <c r="AK159" s="109">
        <v>7650</v>
      </c>
      <c r="AL159" s="109">
        <v>480</v>
      </c>
      <c r="AM159" s="109">
        <v>7.3</v>
      </c>
      <c r="AN159" s="109">
        <v>720</v>
      </c>
      <c r="AO159" s="161">
        <v>47.999999999999993</v>
      </c>
      <c r="AP159" s="161">
        <v>30.923076923076923</v>
      </c>
    </row>
    <row r="160" spans="32:42">
      <c r="AF160" s="109" t="s">
        <v>306</v>
      </c>
      <c r="AG160" s="109">
        <v>550</v>
      </c>
      <c r="AH160" s="109">
        <v>1200</v>
      </c>
      <c r="AI160" s="642" t="str">
        <f t="shared" si="13"/>
        <v>d5501200</v>
      </c>
      <c r="AJ160" s="109">
        <v>8.3000000000000007</v>
      </c>
      <c r="AK160" s="109">
        <v>8300</v>
      </c>
      <c r="AL160" s="109">
        <v>535</v>
      </c>
      <c r="AM160" s="109">
        <v>7.9</v>
      </c>
      <c r="AN160" s="109">
        <v>774</v>
      </c>
      <c r="AO160" s="161">
        <v>53.499999999999993</v>
      </c>
      <c r="AP160" s="161">
        <v>32.92307692307692</v>
      </c>
    </row>
    <row r="161" spans="32:42">
      <c r="AF161" s="109" t="s">
        <v>306</v>
      </c>
      <c r="AG161" s="109">
        <v>550</v>
      </c>
      <c r="AH161" s="109">
        <v>1400</v>
      </c>
      <c r="AI161" s="642" t="str">
        <f t="shared" si="13"/>
        <v>d5501400</v>
      </c>
      <c r="AJ161" s="109">
        <v>8.3000000000000007</v>
      </c>
      <c r="AK161" s="109">
        <v>9000</v>
      </c>
      <c r="AL161" s="109">
        <v>585</v>
      </c>
      <c r="AM161" s="109">
        <v>8.5</v>
      </c>
      <c r="AN161" s="109">
        <v>824</v>
      </c>
      <c r="AO161" s="161">
        <v>59</v>
      </c>
      <c r="AP161" s="161">
        <v>34.92307692307692</v>
      </c>
    </row>
    <row r="162" spans="32:42">
      <c r="AF162" s="109" t="s">
        <v>306</v>
      </c>
      <c r="AG162" s="109">
        <v>600</v>
      </c>
      <c r="AH162" s="109">
        <v>1000</v>
      </c>
      <c r="AI162" s="642" t="str">
        <f t="shared" si="13"/>
        <v>d6001000</v>
      </c>
      <c r="AJ162" s="109">
        <v>8.6999999999999993</v>
      </c>
      <c r="AK162" s="109">
        <v>8150</v>
      </c>
      <c r="AL162" s="109">
        <v>510</v>
      </c>
      <c r="AM162" s="109">
        <v>7.8</v>
      </c>
      <c r="AN162" s="109">
        <v>773</v>
      </c>
      <c r="AO162" s="161">
        <v>49.5</v>
      </c>
      <c r="AP162" s="161">
        <v>32.769230769230766</v>
      </c>
    </row>
    <row r="163" spans="32:42">
      <c r="AF163" s="109" t="s">
        <v>306</v>
      </c>
      <c r="AG163" s="109">
        <v>600</v>
      </c>
      <c r="AH163" s="109">
        <v>1200</v>
      </c>
      <c r="AI163" s="642" t="str">
        <f t="shared" si="13"/>
        <v>d6001200</v>
      </c>
      <c r="AJ163" s="109">
        <v>8.6999999999999993</v>
      </c>
      <c r="AK163" s="109">
        <v>8850</v>
      </c>
      <c r="AL163" s="109">
        <v>565</v>
      </c>
      <c r="AM163" s="109">
        <v>8.4</v>
      </c>
      <c r="AN163" s="109">
        <v>828</v>
      </c>
      <c r="AO163" s="161">
        <v>54.749999999999993</v>
      </c>
      <c r="AP163" s="161">
        <v>34.769230769230774</v>
      </c>
    </row>
    <row r="164" spans="32:42">
      <c r="AF164" s="109" t="s">
        <v>306</v>
      </c>
      <c r="AG164" s="109">
        <v>600</v>
      </c>
      <c r="AH164" s="109">
        <v>1400</v>
      </c>
      <c r="AI164" s="642" t="str">
        <f t="shared" si="13"/>
        <v>d6001400</v>
      </c>
      <c r="AJ164" s="109">
        <v>8.6999999999999993</v>
      </c>
      <c r="AK164" s="109">
        <v>9600</v>
      </c>
      <c r="AL164" s="109">
        <v>615</v>
      </c>
      <c r="AM164" s="109">
        <v>9.1</v>
      </c>
      <c r="AN164" s="109">
        <v>878</v>
      </c>
      <c r="AO164" s="161">
        <v>60.25</v>
      </c>
      <c r="AP164" s="161">
        <v>36.615384615384613</v>
      </c>
    </row>
    <row r="165" spans="32:42">
      <c r="AF165" s="109" t="s">
        <v>306</v>
      </c>
      <c r="AG165" s="109">
        <v>650</v>
      </c>
      <c r="AH165" s="109">
        <v>1000</v>
      </c>
      <c r="AI165" s="642" t="str">
        <f t="shared" si="13"/>
        <v>d6501000</v>
      </c>
      <c r="AJ165" s="109">
        <v>9.1</v>
      </c>
      <c r="AK165" s="109">
        <v>8700</v>
      </c>
      <c r="AL165" s="109">
        <v>540</v>
      </c>
      <c r="AM165" s="109">
        <v>8.3000000000000007</v>
      </c>
      <c r="AN165" s="109">
        <v>832</v>
      </c>
      <c r="AO165" s="161">
        <v>50.75</v>
      </c>
      <c r="AP165" s="161">
        <v>34.615384615384613</v>
      </c>
    </row>
    <row r="166" spans="32:42">
      <c r="AF166" s="109" t="s">
        <v>306</v>
      </c>
      <c r="AG166" s="109">
        <v>650</v>
      </c>
      <c r="AH166" s="109">
        <v>1200</v>
      </c>
      <c r="AI166" s="642" t="str">
        <f t="shared" ref="AI166:AI168" si="14">_xlfn.CONCAT(AF166,AG166,AH166)</f>
        <v>d6501200</v>
      </c>
      <c r="AJ166" s="109">
        <v>9.1</v>
      </c>
      <c r="AK166" s="109">
        <v>9500</v>
      </c>
      <c r="AL166" s="109">
        <v>595</v>
      </c>
      <c r="AM166" s="109">
        <v>9</v>
      </c>
      <c r="AN166" s="109">
        <v>887</v>
      </c>
      <c r="AO166" s="161">
        <v>55.999999999999993</v>
      </c>
      <c r="AP166" s="161">
        <v>36.46153846153846</v>
      </c>
    </row>
    <row r="167" spans="32:42">
      <c r="AF167" s="109" t="s">
        <v>306</v>
      </c>
      <c r="AG167" s="109">
        <v>700</v>
      </c>
      <c r="AH167" s="109">
        <v>1000</v>
      </c>
      <c r="AI167" s="642" t="str">
        <f t="shared" si="14"/>
        <v>d7001000</v>
      </c>
      <c r="AJ167" s="109">
        <v>9.5</v>
      </c>
      <c r="AK167" s="109">
        <v>9350</v>
      </c>
      <c r="AL167" s="109">
        <v>570</v>
      </c>
      <c r="AM167" s="109">
        <v>8.9</v>
      </c>
      <c r="AN167" s="109">
        <v>894</v>
      </c>
      <c r="AO167" s="161">
        <v>52.249999999999993</v>
      </c>
      <c r="AP167" s="161">
        <v>36.307692307692307</v>
      </c>
    </row>
    <row r="168" spans="32:42">
      <c r="AF168" s="109" t="s">
        <v>306</v>
      </c>
      <c r="AG168" s="109">
        <v>750</v>
      </c>
      <c r="AH168" s="109">
        <v>1000</v>
      </c>
      <c r="AI168" s="642" t="str">
        <f t="shared" si="14"/>
        <v>d7501000</v>
      </c>
      <c r="AJ168" s="109">
        <v>9.9</v>
      </c>
      <c r="AK168" s="109">
        <v>10100</v>
      </c>
      <c r="AL168" s="109">
        <v>575</v>
      </c>
      <c r="AM168" s="109">
        <v>9.6</v>
      </c>
      <c r="AN168" s="109">
        <v>941</v>
      </c>
      <c r="AO168" s="161">
        <v>53.75</v>
      </c>
      <c r="AP168" s="161">
        <v>38.153846153846153</v>
      </c>
    </row>
  </sheetData>
  <sheetProtection algorithmName="SHA-512" hashValue="0RBaIufS4j3y45WfSRSfbdLNnzg3gn3vwm5lrJ0Yoo3j5hMcztxg/7yMujRWNqqNlc/6vZdL9U0rWGggAE/v3g==" saltValue="CT136QNxAtQj02TKsvKJDQ==" spinCount="100000" sheet="1" objects="1" scenarios="1"/>
  <mergeCells count="9">
    <mergeCell ref="B11:D11"/>
    <mergeCell ref="B12:D12"/>
    <mergeCell ref="T34:W34"/>
    <mergeCell ref="B1:Y1"/>
    <mergeCell ref="C3:G3"/>
    <mergeCell ref="S3:Y3"/>
    <mergeCell ref="C4:G4"/>
    <mergeCell ref="C5:G5"/>
    <mergeCell ref="B9:D10"/>
  </mergeCells>
  <conditionalFormatting sqref="G38:J38 L38:O38 Q38:R38">
    <cfRule type="expression" dxfId="13" priority="1">
      <formula>G$38&gt;0.98</formula>
    </cfRule>
    <cfRule type="expression" dxfId="12" priority="2">
      <formula>G$38&lt;0.94</formula>
    </cfRule>
  </conditionalFormatting>
  <conditionalFormatting sqref="T36">
    <cfRule type="expression" dxfId="11" priority="9">
      <formula>$T$39&lt;$T$42</formula>
    </cfRule>
    <cfRule type="expression" dxfId="10" priority="10">
      <formula>$T$39&gt;$T$43</formula>
    </cfRule>
  </conditionalFormatting>
  <conditionalFormatting sqref="T37">
    <cfRule type="expression" dxfId="9" priority="7">
      <formula>$T$37&lt;$T$40</formula>
    </cfRule>
    <cfRule type="expression" dxfId="8" priority="8">
      <formula>$T$37&gt;$T$41</formula>
    </cfRule>
  </conditionalFormatting>
  <conditionalFormatting sqref="U36">
    <cfRule type="expression" dxfId="7" priority="11">
      <formula>$U$39&lt;$U$42</formula>
    </cfRule>
  </conditionalFormatting>
  <conditionalFormatting sqref="U37">
    <cfRule type="expression" dxfId="6" priority="6">
      <formula>$U$37&lt;$U$40</formula>
    </cfRule>
  </conditionalFormatting>
  <conditionalFormatting sqref="V36">
    <cfRule type="expression" dxfId="5" priority="12">
      <formula>$V$39&lt;$V$42</formula>
    </cfRule>
  </conditionalFormatting>
  <conditionalFormatting sqref="V37">
    <cfRule type="expression" dxfId="4" priority="5">
      <formula>$V$37&lt;$V$40</formula>
    </cfRule>
  </conditionalFormatting>
  <conditionalFormatting sqref="W36">
    <cfRule type="expression" dxfId="3" priority="13">
      <formula>$W$39&lt;$W$42</formula>
    </cfRule>
  </conditionalFormatting>
  <conditionalFormatting sqref="W37">
    <cfRule type="expression" dxfId="2" priority="4">
      <formula>$W$37&lt;$W$40</formula>
    </cfRule>
  </conditionalFormatting>
  <conditionalFormatting sqref="X36">
    <cfRule type="expression" dxfId="1" priority="14">
      <formula>$X$39&gt;$X$43</formula>
    </cfRule>
  </conditionalFormatting>
  <conditionalFormatting sqref="X37">
    <cfRule type="expression" dxfId="0" priority="3">
      <formula>$X$37&gt;$X$41</formula>
    </cfRule>
  </conditionalFormatting>
  <hyperlinks>
    <hyperlink ref="B12" r:id="rId1" xr:uid="{30B39AEA-F57A-46CC-84A9-E138529CB537}"/>
    <hyperlink ref="B11" r:id="rId2" xr:uid="{8F770414-533C-4642-BA0C-AE4BFCD4FEE7}"/>
  </hyperlinks>
  <pageMargins left="0.7" right="0.7" top="0.75" bottom="0.75" header="0.3" footer="0.3"/>
  <pageSetup paperSize="9" orientation="landscape"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83227D39-6A4A-47ED-ADC8-DC960FF9C0D1}">
          <x14:formula1>
            <xm:f>'Liste des aliments'!$C$6:$C$966</xm:f>
          </x14:formula1>
          <xm:sqref>B17:B32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FBBBB-D5EA-40DD-9BA4-C4F84669DF41}">
  <sheetPr codeName="Feuil2">
    <tabColor theme="0"/>
  </sheetPr>
  <dimension ref="A1:AA967"/>
  <sheetViews>
    <sheetView zoomScale="70" zoomScaleNormal="70" workbookViewId="0">
      <pane xSplit="3" ySplit="5" topLeftCell="D6" activePane="bottomRight" state="frozen"/>
      <selection pane="topRight" activeCell="D1" sqref="D1"/>
      <selection pane="bottomLeft" activeCell="A6" sqref="A6"/>
      <selection pane="bottomRight" activeCell="G115" sqref="G115"/>
    </sheetView>
  </sheetViews>
  <sheetFormatPr baseColWidth="10" defaultColWidth="11.44140625" defaultRowHeight="14.4"/>
  <cols>
    <col min="1" max="1" width="6.44140625" style="287" customWidth="1"/>
    <col min="2" max="2" width="12.6640625" style="287" bestFit="1" customWidth="1"/>
    <col min="3" max="3" width="44.6640625" style="287" customWidth="1"/>
    <col min="4" max="4" width="9.6640625" style="603" customWidth="1"/>
    <col min="5" max="8" width="9.6640625" style="584" customWidth="1"/>
    <col min="9" max="10" width="9.6640625" style="585" customWidth="1"/>
    <col min="11" max="13" width="9.6640625" style="584" customWidth="1"/>
    <col min="14" max="15" width="9.6640625" style="586" customWidth="1"/>
    <col min="16" max="21" width="9.6640625" style="584" customWidth="1"/>
    <col min="22" max="23" width="11.44140625" style="584"/>
    <col min="24" max="16384" width="11.44140625" style="287"/>
  </cols>
  <sheetData>
    <row r="1" spans="1:27" s="580" customFormat="1" ht="12" customHeight="1">
      <c r="A1" s="574">
        <v>1</v>
      </c>
      <c r="B1" s="575">
        <v>2</v>
      </c>
      <c r="C1" s="575">
        <v>3</v>
      </c>
      <c r="D1" s="576">
        <v>4</v>
      </c>
      <c r="E1" s="576">
        <v>5</v>
      </c>
      <c r="F1" s="576">
        <v>6</v>
      </c>
      <c r="G1" s="576">
        <v>7</v>
      </c>
      <c r="H1" s="576">
        <v>8</v>
      </c>
      <c r="I1" s="577">
        <v>9</v>
      </c>
      <c r="J1" s="577">
        <v>10</v>
      </c>
      <c r="K1" s="576">
        <v>11</v>
      </c>
      <c r="L1" s="576">
        <v>12</v>
      </c>
      <c r="M1" s="576">
        <v>13</v>
      </c>
      <c r="N1" s="578">
        <v>14</v>
      </c>
      <c r="O1" s="578">
        <v>15</v>
      </c>
      <c r="P1" s="576">
        <v>16</v>
      </c>
      <c r="Q1" s="576">
        <v>17</v>
      </c>
      <c r="R1" s="576">
        <v>18</v>
      </c>
      <c r="S1" s="576">
        <v>19</v>
      </c>
      <c r="T1" s="576">
        <v>20</v>
      </c>
      <c r="U1" s="576">
        <v>21</v>
      </c>
      <c r="V1" s="576">
        <v>22</v>
      </c>
      <c r="W1" s="579">
        <v>23</v>
      </c>
      <c r="X1" s="576">
        <v>24</v>
      </c>
    </row>
    <row r="2" spans="1:27">
      <c r="A2" s="581" t="s">
        <v>35</v>
      </c>
      <c r="B2" s="581"/>
      <c r="C2" s="581"/>
      <c r="D2" s="582"/>
      <c r="E2" s="583"/>
    </row>
    <row r="3" spans="1:27">
      <c r="A3" s="581" t="s">
        <v>36</v>
      </c>
      <c r="B3" s="581"/>
      <c r="C3" s="581"/>
      <c r="D3" s="582"/>
      <c r="E3" s="583"/>
    </row>
    <row r="4" spans="1:27">
      <c r="A4" s="587" t="s">
        <v>37</v>
      </c>
      <c r="B4" s="581"/>
      <c r="C4" s="581"/>
      <c r="D4" s="582"/>
      <c r="E4" s="583"/>
    </row>
    <row r="5" spans="1:27">
      <c r="A5" s="588" t="s">
        <v>38</v>
      </c>
      <c r="B5" s="589" t="s">
        <v>39</v>
      </c>
      <c r="C5" s="588" t="s">
        <v>40</v>
      </c>
      <c r="D5" s="590" t="s">
        <v>41</v>
      </c>
      <c r="E5" s="591" t="s">
        <v>42</v>
      </c>
      <c r="F5" s="591" t="s">
        <v>43</v>
      </c>
      <c r="G5" s="591" t="s">
        <v>44</v>
      </c>
      <c r="H5" s="591" t="s">
        <v>45</v>
      </c>
      <c r="I5" s="592" t="s">
        <v>46</v>
      </c>
      <c r="J5" s="592" t="s">
        <v>47</v>
      </c>
      <c r="K5" s="591" t="s">
        <v>48</v>
      </c>
      <c r="L5" s="591" t="s">
        <v>49</v>
      </c>
      <c r="M5" s="591" t="s">
        <v>50</v>
      </c>
      <c r="N5" s="593" t="s">
        <v>51</v>
      </c>
      <c r="O5" s="593" t="s">
        <v>52</v>
      </c>
      <c r="P5" s="591" t="s">
        <v>53</v>
      </c>
      <c r="Q5" s="591" t="s">
        <v>54</v>
      </c>
      <c r="R5" s="591" t="s">
        <v>55</v>
      </c>
      <c r="S5" s="591" t="s">
        <v>56</v>
      </c>
      <c r="T5" s="591" t="s">
        <v>57</v>
      </c>
      <c r="U5" s="591" t="s">
        <v>58</v>
      </c>
      <c r="V5" s="591" t="s">
        <v>59</v>
      </c>
      <c r="W5" s="591" t="s">
        <v>60</v>
      </c>
      <c r="X5" s="589" t="s">
        <v>61</v>
      </c>
    </row>
    <row r="6" spans="1:27" s="649" customFormat="1">
      <c r="A6" s="594">
        <v>1</v>
      </c>
      <c r="B6" s="561" t="s">
        <v>62</v>
      </c>
      <c r="C6" s="562" t="s">
        <v>63</v>
      </c>
      <c r="D6" s="563">
        <v>88.2</v>
      </c>
      <c r="E6" s="564">
        <v>1261</v>
      </c>
      <c r="F6" s="564">
        <v>1458</v>
      </c>
      <c r="G6" s="564">
        <v>55</v>
      </c>
      <c r="H6" s="564">
        <v>-78</v>
      </c>
      <c r="I6" s="565">
        <v>1.2</v>
      </c>
      <c r="J6" s="565">
        <v>1.27</v>
      </c>
      <c r="K6" s="564">
        <v>5</v>
      </c>
      <c r="L6" s="564">
        <v>69</v>
      </c>
      <c r="M6" s="564">
        <v>7</v>
      </c>
      <c r="N6" s="566">
        <v>0.1</v>
      </c>
      <c r="O6" s="566">
        <v>0.2</v>
      </c>
      <c r="P6" s="564">
        <v>0</v>
      </c>
      <c r="Q6" s="564">
        <v>838</v>
      </c>
      <c r="R6" s="564">
        <v>2</v>
      </c>
      <c r="S6" s="564">
        <v>0</v>
      </c>
      <c r="T6" s="564">
        <v>0</v>
      </c>
      <c r="U6" s="564">
        <v>0</v>
      </c>
      <c r="V6" s="564">
        <v>4</v>
      </c>
      <c r="W6" s="564">
        <v>-67</v>
      </c>
      <c r="X6" s="287">
        <v>0</v>
      </c>
      <c r="Y6" s="287"/>
      <c r="Z6" s="287"/>
      <c r="AA6" s="287"/>
    </row>
    <row r="7" spans="1:27">
      <c r="A7" s="594">
        <v>2</v>
      </c>
      <c r="B7" s="561" t="s">
        <v>62</v>
      </c>
      <c r="C7" s="562" t="s">
        <v>64</v>
      </c>
      <c r="D7" s="563">
        <v>87.6</v>
      </c>
      <c r="E7" s="564">
        <v>851</v>
      </c>
      <c r="F7" s="564">
        <v>880</v>
      </c>
      <c r="G7" s="564">
        <v>48</v>
      </c>
      <c r="H7" s="564">
        <v>-4</v>
      </c>
      <c r="I7" s="565">
        <v>0.87</v>
      </c>
      <c r="J7" s="565">
        <v>0.83</v>
      </c>
      <c r="K7" s="564">
        <v>58</v>
      </c>
      <c r="L7" s="564">
        <v>64</v>
      </c>
      <c r="M7" s="564">
        <v>94</v>
      </c>
      <c r="N7" s="566">
        <v>1</v>
      </c>
      <c r="O7" s="566">
        <v>3.1</v>
      </c>
      <c r="P7" s="564">
        <v>13</v>
      </c>
      <c r="Q7" s="564">
        <v>368</v>
      </c>
      <c r="R7" s="564">
        <v>115</v>
      </c>
      <c r="S7" s="564">
        <v>313</v>
      </c>
      <c r="T7" s="564">
        <v>143</v>
      </c>
      <c r="U7" s="564">
        <v>23</v>
      </c>
      <c r="V7" s="564">
        <v>47</v>
      </c>
      <c r="W7" s="564">
        <v>-0.9</v>
      </c>
      <c r="X7" s="287">
        <v>0</v>
      </c>
    </row>
    <row r="8" spans="1:27">
      <c r="A8" s="594">
        <v>3</v>
      </c>
      <c r="B8" s="561" t="s">
        <v>62</v>
      </c>
      <c r="C8" s="562" t="s">
        <v>65</v>
      </c>
      <c r="D8" s="563">
        <v>86.9</v>
      </c>
      <c r="E8" s="564">
        <v>1024</v>
      </c>
      <c r="F8" s="564">
        <v>1128</v>
      </c>
      <c r="G8" s="564">
        <v>85</v>
      </c>
      <c r="H8" s="564">
        <v>-22</v>
      </c>
      <c r="I8" s="565">
        <v>1.04</v>
      </c>
      <c r="J8" s="565">
        <v>1.06</v>
      </c>
      <c r="K8" s="564">
        <v>73</v>
      </c>
      <c r="L8" s="564">
        <v>90</v>
      </c>
      <c r="M8" s="564">
        <v>110</v>
      </c>
      <c r="N8" s="566">
        <v>0.6</v>
      </c>
      <c r="O8" s="566">
        <v>3.1</v>
      </c>
      <c r="P8" s="564">
        <v>26</v>
      </c>
      <c r="Q8" s="564">
        <v>600</v>
      </c>
      <c r="R8" s="564">
        <v>24</v>
      </c>
      <c r="S8" s="564">
        <v>128</v>
      </c>
      <c r="T8" s="564">
        <v>33</v>
      </c>
      <c r="U8" s="564">
        <v>10</v>
      </c>
      <c r="V8" s="564">
        <v>14</v>
      </c>
      <c r="W8" s="564">
        <v>3</v>
      </c>
      <c r="X8" s="287">
        <v>0</v>
      </c>
    </row>
    <row r="9" spans="1:27">
      <c r="A9" s="594">
        <v>4</v>
      </c>
      <c r="B9" s="561" t="s">
        <v>62</v>
      </c>
      <c r="C9" s="562" t="s">
        <v>66</v>
      </c>
      <c r="D9" s="563">
        <v>88.9</v>
      </c>
      <c r="E9" s="564">
        <v>874</v>
      </c>
      <c r="F9" s="564">
        <v>923</v>
      </c>
      <c r="G9" s="564">
        <v>83</v>
      </c>
      <c r="H9" s="564">
        <v>-34</v>
      </c>
      <c r="I9" s="565">
        <v>0.94</v>
      </c>
      <c r="J9" s="565">
        <v>0.93</v>
      </c>
      <c r="K9" s="564">
        <v>71</v>
      </c>
      <c r="L9" s="564">
        <v>95</v>
      </c>
      <c r="M9" s="564">
        <v>114</v>
      </c>
      <c r="N9" s="566">
        <v>4.9000000000000004</v>
      </c>
      <c r="O9" s="566">
        <v>1.5</v>
      </c>
      <c r="P9" s="564">
        <v>11</v>
      </c>
      <c r="Q9" s="564">
        <v>51</v>
      </c>
      <c r="R9" s="564">
        <v>348</v>
      </c>
      <c r="S9" s="564">
        <v>581</v>
      </c>
      <c r="T9" s="564">
        <v>413</v>
      </c>
      <c r="U9" s="564">
        <v>21</v>
      </c>
      <c r="V9" s="564">
        <v>19</v>
      </c>
      <c r="W9" s="564">
        <v>239</v>
      </c>
      <c r="X9" s="287">
        <v>0</v>
      </c>
    </row>
    <row r="10" spans="1:27">
      <c r="A10" s="594">
        <v>5</v>
      </c>
      <c r="B10" s="561" t="s">
        <v>62</v>
      </c>
      <c r="C10" s="562" t="s">
        <v>67</v>
      </c>
      <c r="D10" s="563">
        <v>86.3</v>
      </c>
      <c r="E10" s="564">
        <v>1000</v>
      </c>
      <c r="F10" s="564">
        <v>1090</v>
      </c>
      <c r="G10" s="564">
        <v>95.5</v>
      </c>
      <c r="H10" s="564">
        <v>120.5</v>
      </c>
      <c r="I10" s="565">
        <v>1.04</v>
      </c>
      <c r="J10" s="565">
        <v>1.0550000000000002</v>
      </c>
      <c r="K10" s="564">
        <v>167</v>
      </c>
      <c r="L10" s="564">
        <v>96.5</v>
      </c>
      <c r="M10" s="564">
        <v>261</v>
      </c>
      <c r="N10" s="566">
        <v>1.3</v>
      </c>
      <c r="O10" s="566">
        <v>4.8</v>
      </c>
      <c r="P10" s="564">
        <v>32.5</v>
      </c>
      <c r="Q10" s="564">
        <v>377</v>
      </c>
      <c r="R10" s="564">
        <v>76</v>
      </c>
      <c r="S10" s="564">
        <v>131.5</v>
      </c>
      <c r="T10" s="564">
        <v>93</v>
      </c>
      <c r="U10" s="564">
        <v>7.5</v>
      </c>
      <c r="V10" s="564">
        <v>11.5</v>
      </c>
      <c r="W10" s="564">
        <v>105</v>
      </c>
      <c r="X10" s="287">
        <v>0</v>
      </c>
    </row>
    <row r="11" spans="1:27">
      <c r="A11" s="594">
        <v>6</v>
      </c>
      <c r="B11" s="561" t="s">
        <v>62</v>
      </c>
      <c r="C11" s="562" t="s">
        <v>68</v>
      </c>
      <c r="D11" s="563">
        <v>87.5</v>
      </c>
      <c r="E11" s="564">
        <v>850</v>
      </c>
      <c r="F11" s="564">
        <v>920</v>
      </c>
      <c r="G11" s="564">
        <v>62</v>
      </c>
      <c r="H11" s="564">
        <v>-3</v>
      </c>
      <c r="I11" s="565">
        <v>0.84</v>
      </c>
      <c r="J11" s="565">
        <v>0.82</v>
      </c>
      <c r="K11" s="564">
        <v>76</v>
      </c>
      <c r="L11" s="564">
        <v>86</v>
      </c>
      <c r="M11" s="564">
        <v>109</v>
      </c>
      <c r="N11" s="566">
        <v>0.3</v>
      </c>
      <c r="O11" s="566">
        <v>3.2</v>
      </c>
      <c r="P11" s="564">
        <v>20</v>
      </c>
      <c r="Q11" s="564">
        <v>370</v>
      </c>
      <c r="R11" s="564">
        <v>127</v>
      </c>
      <c r="S11" s="564">
        <v>263</v>
      </c>
      <c r="T11" s="564">
        <v>131</v>
      </c>
      <c r="U11" s="564">
        <v>9</v>
      </c>
      <c r="V11" s="564">
        <v>20</v>
      </c>
      <c r="W11" s="564">
        <v>10</v>
      </c>
      <c r="X11" s="287">
        <v>0</v>
      </c>
    </row>
    <row r="12" spans="1:27">
      <c r="A12" s="594">
        <v>7</v>
      </c>
      <c r="B12" s="561" t="s">
        <v>62</v>
      </c>
      <c r="C12" s="562" t="s">
        <v>69</v>
      </c>
      <c r="D12" s="563">
        <v>99.8</v>
      </c>
      <c r="E12" s="564">
        <v>3440</v>
      </c>
      <c r="F12" s="564">
        <v>4034</v>
      </c>
      <c r="G12" s="564">
        <v>-17</v>
      </c>
      <c r="H12" s="564">
        <v>15</v>
      </c>
      <c r="I12" s="565">
        <v>3.61</v>
      </c>
      <c r="J12" s="565">
        <v>3.93</v>
      </c>
      <c r="K12" s="564">
        <v>0</v>
      </c>
      <c r="L12" s="564">
        <v>0</v>
      </c>
      <c r="M12" s="564">
        <v>0</v>
      </c>
      <c r="N12" s="566">
        <v>0</v>
      </c>
      <c r="O12" s="566">
        <v>0</v>
      </c>
      <c r="P12" s="564">
        <v>0</v>
      </c>
      <c r="Q12" s="564">
        <v>0</v>
      </c>
      <c r="R12" s="564">
        <v>0</v>
      </c>
      <c r="S12" s="564">
        <v>0</v>
      </c>
      <c r="T12" s="564">
        <v>0</v>
      </c>
      <c r="U12" s="564">
        <v>0</v>
      </c>
      <c r="V12" s="564">
        <v>997</v>
      </c>
      <c r="W12" s="564">
        <v>0</v>
      </c>
      <c r="X12" s="287">
        <v>0</v>
      </c>
    </row>
    <row r="13" spans="1:27">
      <c r="A13" s="594">
        <v>8</v>
      </c>
      <c r="B13" s="561" t="s">
        <v>62</v>
      </c>
      <c r="C13" s="562" t="s">
        <v>70</v>
      </c>
      <c r="D13" s="563">
        <v>90.8</v>
      </c>
      <c r="E13" s="564">
        <v>639</v>
      </c>
      <c r="F13" s="564">
        <v>609</v>
      </c>
      <c r="G13" s="564">
        <v>62</v>
      </c>
      <c r="H13" s="564">
        <v>25</v>
      </c>
      <c r="I13" s="565">
        <v>0.66</v>
      </c>
      <c r="J13" s="565">
        <v>0.59</v>
      </c>
      <c r="K13" s="564">
        <v>100</v>
      </c>
      <c r="L13" s="564">
        <v>89</v>
      </c>
      <c r="M13" s="564">
        <v>154</v>
      </c>
      <c r="N13" s="566">
        <v>20.3</v>
      </c>
      <c r="O13" s="566">
        <v>2.2999999999999998</v>
      </c>
      <c r="P13" s="564">
        <v>40</v>
      </c>
      <c r="Q13" s="564">
        <v>28</v>
      </c>
      <c r="R13" s="564">
        <v>275</v>
      </c>
      <c r="S13" s="564">
        <v>421</v>
      </c>
      <c r="T13" s="564">
        <v>310</v>
      </c>
      <c r="U13" s="564">
        <v>79</v>
      </c>
      <c r="V13" s="564">
        <v>22</v>
      </c>
      <c r="W13" s="564">
        <v>113</v>
      </c>
      <c r="X13" s="287">
        <v>0</v>
      </c>
    </row>
    <row r="14" spans="1:27">
      <c r="A14" s="594">
        <v>9</v>
      </c>
      <c r="B14" s="561" t="s">
        <v>62</v>
      </c>
      <c r="C14" s="562" t="s">
        <v>71</v>
      </c>
      <c r="D14" s="563">
        <v>90.6</v>
      </c>
      <c r="E14" s="564">
        <v>653</v>
      </c>
      <c r="F14" s="564">
        <v>627</v>
      </c>
      <c r="G14" s="564">
        <v>66</v>
      </c>
      <c r="H14" s="564">
        <v>29</v>
      </c>
      <c r="I14" s="565">
        <v>0.68</v>
      </c>
      <c r="J14" s="565">
        <v>0.6</v>
      </c>
      <c r="K14" s="564">
        <v>106</v>
      </c>
      <c r="L14" s="564">
        <v>92</v>
      </c>
      <c r="M14" s="564">
        <v>162</v>
      </c>
      <c r="N14" s="566">
        <v>21.2</v>
      </c>
      <c r="O14" s="566">
        <v>2.4</v>
      </c>
      <c r="P14" s="564">
        <v>40</v>
      </c>
      <c r="Q14" s="564">
        <v>28</v>
      </c>
      <c r="R14" s="564">
        <v>262</v>
      </c>
      <c r="S14" s="564">
        <v>409</v>
      </c>
      <c r="T14" s="564">
        <v>298</v>
      </c>
      <c r="U14" s="564">
        <v>77</v>
      </c>
      <c r="V14" s="564">
        <v>22</v>
      </c>
      <c r="W14" s="564">
        <v>302</v>
      </c>
      <c r="X14" s="287">
        <v>0</v>
      </c>
    </row>
    <row r="15" spans="1:27">
      <c r="A15" s="594">
        <v>10</v>
      </c>
      <c r="B15" s="561" t="s">
        <v>62</v>
      </c>
      <c r="C15" s="562" t="s">
        <v>72</v>
      </c>
      <c r="D15" s="563">
        <v>90.8</v>
      </c>
      <c r="E15" s="564">
        <v>694</v>
      </c>
      <c r="F15" s="564">
        <v>679</v>
      </c>
      <c r="G15" s="564">
        <v>75</v>
      </c>
      <c r="H15" s="564">
        <v>39</v>
      </c>
      <c r="I15" s="565">
        <v>0.72</v>
      </c>
      <c r="J15" s="565">
        <v>0.66</v>
      </c>
      <c r="K15" s="564">
        <v>119</v>
      </c>
      <c r="L15" s="564">
        <v>100</v>
      </c>
      <c r="M15" s="564">
        <v>183</v>
      </c>
      <c r="N15" s="566">
        <v>22.8</v>
      </c>
      <c r="O15" s="566">
        <v>2.5</v>
      </c>
      <c r="P15" s="564">
        <v>32</v>
      </c>
      <c r="Q15" s="564">
        <v>28</v>
      </c>
      <c r="R15" s="564">
        <v>230</v>
      </c>
      <c r="S15" s="564">
        <v>381</v>
      </c>
      <c r="T15" s="564">
        <v>268</v>
      </c>
      <c r="U15" s="564">
        <v>71</v>
      </c>
      <c r="V15" s="564">
        <v>27</v>
      </c>
      <c r="W15" s="564">
        <v>313</v>
      </c>
      <c r="X15" s="287">
        <v>0</v>
      </c>
    </row>
    <row r="16" spans="1:27">
      <c r="A16" s="594">
        <v>11</v>
      </c>
      <c r="B16" s="561" t="s">
        <v>62</v>
      </c>
      <c r="C16" s="562" t="s">
        <v>73</v>
      </c>
      <c r="D16" s="563">
        <v>90.4</v>
      </c>
      <c r="E16" s="564">
        <v>728</v>
      </c>
      <c r="F16" s="564">
        <v>720</v>
      </c>
      <c r="G16" s="564">
        <v>90</v>
      </c>
      <c r="H16" s="564">
        <v>53</v>
      </c>
      <c r="I16" s="565">
        <v>0.76</v>
      </c>
      <c r="J16" s="565">
        <v>0.7</v>
      </c>
      <c r="K16" s="564">
        <v>141</v>
      </c>
      <c r="L16" s="564">
        <v>113</v>
      </c>
      <c r="M16" s="564">
        <v>208</v>
      </c>
      <c r="N16" s="566">
        <v>21.1</v>
      </c>
      <c r="O16" s="566">
        <v>2.8</v>
      </c>
      <c r="P16" s="564">
        <v>40</v>
      </c>
      <c r="Q16" s="564">
        <v>29</v>
      </c>
      <c r="R16" s="564">
        <v>205</v>
      </c>
      <c r="S16" s="564">
        <v>357</v>
      </c>
      <c r="T16" s="564">
        <v>244</v>
      </c>
      <c r="U16" s="564">
        <v>67</v>
      </c>
      <c r="V16" s="564">
        <v>30</v>
      </c>
      <c r="W16" s="564">
        <v>111</v>
      </c>
      <c r="X16" s="287">
        <v>0</v>
      </c>
    </row>
    <row r="17" spans="1:24">
      <c r="A17" s="594">
        <v>12</v>
      </c>
      <c r="B17" s="561" t="s">
        <v>62</v>
      </c>
      <c r="C17" s="562" t="s">
        <v>74</v>
      </c>
      <c r="D17" s="563">
        <v>91.3</v>
      </c>
      <c r="E17" s="564">
        <v>639</v>
      </c>
      <c r="F17" s="564">
        <v>610</v>
      </c>
      <c r="G17" s="564">
        <v>58</v>
      </c>
      <c r="H17" s="564">
        <v>16</v>
      </c>
      <c r="I17" s="565">
        <v>0.66</v>
      </c>
      <c r="J17" s="565">
        <v>0.59</v>
      </c>
      <c r="K17" s="564">
        <v>92</v>
      </c>
      <c r="L17" s="564">
        <v>86</v>
      </c>
      <c r="M17" s="564">
        <v>141</v>
      </c>
      <c r="N17" s="566">
        <v>20.100000000000001</v>
      </c>
      <c r="O17" s="566">
        <v>2.4</v>
      </c>
      <c r="P17" s="564">
        <v>36</v>
      </c>
      <c r="Q17" s="564">
        <v>25</v>
      </c>
      <c r="R17" s="564">
        <v>280</v>
      </c>
      <c r="S17" s="564">
        <v>427</v>
      </c>
      <c r="T17" s="564">
        <v>315</v>
      </c>
      <c r="U17" s="564">
        <v>80</v>
      </c>
      <c r="V17" s="564">
        <v>21</v>
      </c>
      <c r="W17" s="564">
        <v>195</v>
      </c>
      <c r="X17" s="287">
        <v>0</v>
      </c>
    </row>
    <row r="18" spans="1:24">
      <c r="A18" s="594">
        <v>13</v>
      </c>
      <c r="B18" s="561" t="s">
        <v>62</v>
      </c>
      <c r="C18" s="562" t="s">
        <v>75</v>
      </c>
      <c r="D18" s="563">
        <v>86.3</v>
      </c>
      <c r="E18" s="564">
        <v>1090</v>
      </c>
      <c r="F18" s="564">
        <v>1213</v>
      </c>
      <c r="G18" s="564">
        <v>80</v>
      </c>
      <c r="H18" s="564">
        <v>-40</v>
      </c>
      <c r="I18" s="565">
        <v>1.1100000000000001</v>
      </c>
      <c r="J18" s="565">
        <v>1.1399999999999999</v>
      </c>
      <c r="K18" s="564">
        <v>59</v>
      </c>
      <c r="L18" s="564">
        <v>82</v>
      </c>
      <c r="M18" s="564">
        <v>76</v>
      </c>
      <c r="N18" s="566">
        <v>0.4</v>
      </c>
      <c r="O18" s="566">
        <v>2.5</v>
      </c>
      <c r="P18" s="564">
        <v>17</v>
      </c>
      <c r="Q18" s="564">
        <v>638</v>
      </c>
      <c r="R18" s="564">
        <v>23</v>
      </c>
      <c r="S18" s="564">
        <v>107</v>
      </c>
      <c r="T18" s="564">
        <v>26</v>
      </c>
      <c r="U18" s="564">
        <v>5</v>
      </c>
      <c r="V18" s="564">
        <v>36</v>
      </c>
      <c r="W18" s="564">
        <v>-0.8</v>
      </c>
      <c r="X18" s="287">
        <v>0</v>
      </c>
    </row>
    <row r="19" spans="1:24">
      <c r="A19" s="594">
        <v>14</v>
      </c>
      <c r="B19" s="561" t="s">
        <v>62</v>
      </c>
      <c r="C19" s="562" t="s">
        <v>76</v>
      </c>
      <c r="D19" s="563">
        <v>87.2</v>
      </c>
      <c r="E19" s="564">
        <v>954</v>
      </c>
      <c r="F19" s="564">
        <v>1031</v>
      </c>
      <c r="G19" s="564">
        <v>76</v>
      </c>
      <c r="H19" s="564">
        <v>-24</v>
      </c>
      <c r="I19" s="565">
        <v>0.97</v>
      </c>
      <c r="J19" s="565">
        <v>0.97</v>
      </c>
      <c r="K19" s="564">
        <v>67</v>
      </c>
      <c r="L19" s="564">
        <v>88</v>
      </c>
      <c r="M19" s="564">
        <v>99</v>
      </c>
      <c r="N19" s="566">
        <v>0.7</v>
      </c>
      <c r="O19" s="566">
        <v>3.4</v>
      </c>
      <c r="P19" s="564">
        <v>22</v>
      </c>
      <c r="Q19" s="564">
        <v>523</v>
      </c>
      <c r="R19" s="564">
        <v>47</v>
      </c>
      <c r="S19" s="564">
        <v>187</v>
      </c>
      <c r="T19" s="564">
        <v>56</v>
      </c>
      <c r="U19" s="564">
        <v>11</v>
      </c>
      <c r="V19" s="564">
        <v>16</v>
      </c>
      <c r="W19" s="564">
        <v>19</v>
      </c>
      <c r="X19" s="287">
        <v>0</v>
      </c>
    </row>
    <row r="20" spans="1:24">
      <c r="A20" s="594">
        <v>15</v>
      </c>
      <c r="B20" s="561" t="s">
        <v>62</v>
      </c>
      <c r="C20" s="562" t="s">
        <v>77</v>
      </c>
      <c r="D20" s="563">
        <v>87.2</v>
      </c>
      <c r="E20" s="564">
        <v>1021</v>
      </c>
      <c r="F20" s="564">
        <v>1122</v>
      </c>
      <c r="G20" s="564">
        <v>82</v>
      </c>
      <c r="H20" s="564">
        <v>78</v>
      </c>
      <c r="I20" s="565">
        <v>1.05</v>
      </c>
      <c r="J20" s="565">
        <v>1.07</v>
      </c>
      <c r="K20" s="564">
        <v>128</v>
      </c>
      <c r="L20" s="564">
        <v>82</v>
      </c>
      <c r="M20" s="564">
        <v>203</v>
      </c>
      <c r="N20" s="566">
        <v>1</v>
      </c>
      <c r="O20" s="566">
        <v>3.8</v>
      </c>
      <c r="P20" s="564">
        <v>42</v>
      </c>
      <c r="Q20" s="564">
        <v>447</v>
      </c>
      <c r="R20" s="564">
        <v>56</v>
      </c>
      <c r="S20" s="564">
        <v>127</v>
      </c>
      <c r="T20" s="564">
        <v>64</v>
      </c>
      <c r="U20" s="564">
        <v>4</v>
      </c>
      <c r="V20" s="564">
        <v>12</v>
      </c>
      <c r="W20" s="564">
        <v>110</v>
      </c>
      <c r="X20" s="287">
        <v>0</v>
      </c>
    </row>
    <row r="21" spans="1:24">
      <c r="A21" s="594">
        <v>16</v>
      </c>
      <c r="B21" s="561" t="s">
        <v>62</v>
      </c>
      <c r="C21" s="562" t="s">
        <v>78</v>
      </c>
      <c r="D21" s="563">
        <v>88.9</v>
      </c>
      <c r="E21" s="564">
        <v>891</v>
      </c>
      <c r="F21" s="564">
        <v>959</v>
      </c>
      <c r="G21" s="564">
        <v>85</v>
      </c>
      <c r="H21" s="564">
        <v>-60</v>
      </c>
      <c r="I21" s="565">
        <v>0.92</v>
      </c>
      <c r="J21" s="565">
        <v>0.92</v>
      </c>
      <c r="K21" s="564">
        <v>57</v>
      </c>
      <c r="L21" s="564">
        <v>96</v>
      </c>
      <c r="M21" s="564">
        <v>79</v>
      </c>
      <c r="N21" s="566">
        <v>12.9</v>
      </c>
      <c r="O21" s="566">
        <v>0.9</v>
      </c>
      <c r="P21" s="564">
        <v>70</v>
      </c>
      <c r="Q21" s="564">
        <v>9</v>
      </c>
      <c r="R21" s="564">
        <v>172</v>
      </c>
      <c r="S21" s="564">
        <v>418</v>
      </c>
      <c r="T21" s="564">
        <v>211</v>
      </c>
      <c r="U21" s="564">
        <v>24</v>
      </c>
      <c r="V21" s="564">
        <v>8</v>
      </c>
      <c r="W21" s="564">
        <v>-25</v>
      </c>
      <c r="X21" s="287">
        <v>0</v>
      </c>
    </row>
    <row r="22" spans="1:24">
      <c r="A22" s="594">
        <v>17</v>
      </c>
      <c r="B22" s="561" t="s">
        <v>62</v>
      </c>
      <c r="C22" s="562" t="s">
        <v>79</v>
      </c>
      <c r="D22" s="563">
        <v>89.8</v>
      </c>
      <c r="E22" s="564">
        <v>787</v>
      </c>
      <c r="F22" s="564">
        <v>803</v>
      </c>
      <c r="G22" s="564">
        <v>74</v>
      </c>
      <c r="H22" s="564">
        <v>64</v>
      </c>
      <c r="I22" s="565">
        <v>0.8</v>
      </c>
      <c r="J22" s="565">
        <v>0.75</v>
      </c>
      <c r="K22" s="564">
        <v>125</v>
      </c>
      <c r="L22" s="564">
        <v>91</v>
      </c>
      <c r="M22" s="564">
        <v>203</v>
      </c>
      <c r="N22" s="566">
        <v>2</v>
      </c>
      <c r="O22" s="566">
        <v>5.4</v>
      </c>
      <c r="P22" s="564">
        <v>99</v>
      </c>
      <c r="Q22" s="564">
        <v>148</v>
      </c>
      <c r="R22" s="564">
        <v>124</v>
      </c>
      <c r="S22" s="564">
        <v>401</v>
      </c>
      <c r="T22" s="564">
        <v>148</v>
      </c>
      <c r="U22" s="564">
        <v>23</v>
      </c>
      <c r="V22" s="564">
        <v>16</v>
      </c>
      <c r="W22" s="564">
        <v>2</v>
      </c>
      <c r="X22" s="287">
        <v>0</v>
      </c>
    </row>
    <row r="23" spans="1:24">
      <c r="A23" s="594">
        <v>18</v>
      </c>
      <c r="B23" s="561" t="s">
        <v>62</v>
      </c>
      <c r="C23" s="562" t="s">
        <v>80</v>
      </c>
      <c r="D23" s="563">
        <v>86.7</v>
      </c>
      <c r="E23" s="564">
        <v>1023</v>
      </c>
      <c r="F23" s="564">
        <v>1131</v>
      </c>
      <c r="G23" s="564">
        <v>79</v>
      </c>
      <c r="H23" s="564">
        <v>-43</v>
      </c>
      <c r="I23" s="565">
        <v>1.04</v>
      </c>
      <c r="J23" s="565">
        <v>1.06</v>
      </c>
      <c r="K23" s="564">
        <v>55</v>
      </c>
      <c r="L23" s="564">
        <v>83</v>
      </c>
      <c r="M23" s="564">
        <v>85</v>
      </c>
      <c r="N23" s="566">
        <v>0.6</v>
      </c>
      <c r="O23" s="566">
        <v>3</v>
      </c>
      <c r="P23" s="564">
        <v>31</v>
      </c>
      <c r="Q23" s="564">
        <v>537</v>
      </c>
      <c r="R23" s="564">
        <v>20</v>
      </c>
      <c r="S23" s="564">
        <v>129</v>
      </c>
      <c r="T23" s="564">
        <v>28</v>
      </c>
      <c r="U23" s="564">
        <v>9</v>
      </c>
      <c r="V23" s="564">
        <v>12</v>
      </c>
      <c r="W23" s="564">
        <v>22</v>
      </c>
      <c r="X23" s="287">
        <v>0</v>
      </c>
    </row>
    <row r="24" spans="1:24">
      <c r="A24" s="594">
        <v>19</v>
      </c>
      <c r="B24" s="561" t="s">
        <v>62</v>
      </c>
      <c r="C24" s="562" t="s">
        <v>81</v>
      </c>
      <c r="D24" s="563">
        <v>86.6</v>
      </c>
      <c r="E24" s="564">
        <v>788</v>
      </c>
      <c r="F24" s="564">
        <v>802</v>
      </c>
      <c r="G24" s="564">
        <v>60</v>
      </c>
      <c r="H24" s="564">
        <v>35</v>
      </c>
      <c r="I24" s="565">
        <v>0.8</v>
      </c>
      <c r="J24" s="565">
        <v>0.75</v>
      </c>
      <c r="K24" s="564">
        <v>95</v>
      </c>
      <c r="L24" s="564">
        <v>77</v>
      </c>
      <c r="M24" s="564">
        <v>149</v>
      </c>
      <c r="N24" s="566">
        <v>1.2</v>
      </c>
      <c r="O24" s="566">
        <v>9</v>
      </c>
      <c r="P24" s="564">
        <v>67</v>
      </c>
      <c r="Q24" s="564">
        <v>216</v>
      </c>
      <c r="R24" s="564">
        <v>93</v>
      </c>
      <c r="S24" s="564">
        <v>402</v>
      </c>
      <c r="T24" s="564">
        <v>120</v>
      </c>
      <c r="U24" s="564">
        <v>34</v>
      </c>
      <c r="V24" s="564">
        <v>45</v>
      </c>
      <c r="W24" s="564">
        <v>154</v>
      </c>
      <c r="X24" s="287">
        <v>0</v>
      </c>
    </row>
    <row r="25" spans="1:24">
      <c r="A25" s="594">
        <v>20</v>
      </c>
      <c r="B25" s="561" t="s">
        <v>62</v>
      </c>
      <c r="C25" s="562" t="s">
        <v>82</v>
      </c>
      <c r="D25" s="563">
        <v>86.9</v>
      </c>
      <c r="E25" s="564">
        <v>778</v>
      </c>
      <c r="F25" s="564">
        <v>792</v>
      </c>
      <c r="G25" s="564">
        <v>63</v>
      </c>
      <c r="H25" s="564">
        <v>35</v>
      </c>
      <c r="I25" s="565">
        <v>0.79</v>
      </c>
      <c r="J25" s="565">
        <v>0.74</v>
      </c>
      <c r="K25" s="564">
        <v>98</v>
      </c>
      <c r="L25" s="564">
        <v>79</v>
      </c>
      <c r="M25" s="564">
        <v>153</v>
      </c>
      <c r="N25" s="566">
        <v>1.2</v>
      </c>
      <c r="O25" s="566">
        <v>9.5</v>
      </c>
      <c r="P25" s="564">
        <v>69</v>
      </c>
      <c r="Q25" s="564">
        <v>194</v>
      </c>
      <c r="R25" s="564">
        <v>92</v>
      </c>
      <c r="S25" s="564">
        <v>396</v>
      </c>
      <c r="T25" s="564">
        <v>118</v>
      </c>
      <c r="U25" s="564">
        <v>34</v>
      </c>
      <c r="V25" s="564">
        <v>33</v>
      </c>
      <c r="W25" s="564">
        <v>163</v>
      </c>
      <c r="X25" s="287">
        <v>0</v>
      </c>
    </row>
    <row r="26" spans="1:24">
      <c r="A26" s="594">
        <v>21</v>
      </c>
      <c r="B26" s="561" t="s">
        <v>62</v>
      </c>
      <c r="C26" s="562" t="s">
        <v>83</v>
      </c>
      <c r="D26" s="563">
        <v>91</v>
      </c>
      <c r="E26" s="564">
        <v>1064</v>
      </c>
      <c r="F26" s="564">
        <v>1118</v>
      </c>
      <c r="G26" s="564">
        <v>128</v>
      </c>
      <c r="H26" s="564">
        <v>161</v>
      </c>
      <c r="I26" s="565">
        <v>1.1299999999999999</v>
      </c>
      <c r="J26" s="565">
        <v>1.1100000000000001</v>
      </c>
      <c r="K26" s="564">
        <v>231</v>
      </c>
      <c r="L26" s="564">
        <v>143</v>
      </c>
      <c r="M26" s="564">
        <v>345</v>
      </c>
      <c r="N26" s="566">
        <v>3.4</v>
      </c>
      <c r="O26" s="566">
        <v>8.6</v>
      </c>
      <c r="P26" s="564">
        <v>40</v>
      </c>
      <c r="Q26" s="564">
        <v>60</v>
      </c>
      <c r="R26" s="564">
        <v>111</v>
      </c>
      <c r="S26" s="564">
        <v>230</v>
      </c>
      <c r="T26" s="564">
        <v>155</v>
      </c>
      <c r="U26" s="564">
        <v>69</v>
      </c>
      <c r="V26" s="564">
        <v>123</v>
      </c>
      <c r="W26" s="564">
        <v>-115</v>
      </c>
      <c r="X26" s="287">
        <v>0</v>
      </c>
    </row>
    <row r="27" spans="1:24">
      <c r="A27" s="594">
        <v>22</v>
      </c>
      <c r="B27" s="561" t="s">
        <v>62</v>
      </c>
      <c r="C27" s="562" t="s">
        <v>84</v>
      </c>
      <c r="D27" s="563">
        <v>90.9</v>
      </c>
      <c r="E27" s="564">
        <v>973</v>
      </c>
      <c r="F27" s="564">
        <v>1037</v>
      </c>
      <c r="G27" s="564">
        <v>82</v>
      </c>
      <c r="H27" s="564">
        <v>39</v>
      </c>
      <c r="I27" s="565">
        <v>1</v>
      </c>
      <c r="J27" s="565">
        <v>0.99</v>
      </c>
      <c r="K27" s="564">
        <v>113</v>
      </c>
      <c r="L27" s="564">
        <v>93</v>
      </c>
      <c r="M27" s="564">
        <v>174</v>
      </c>
      <c r="N27" s="566">
        <v>1.2</v>
      </c>
      <c r="O27" s="566">
        <v>7.5</v>
      </c>
      <c r="P27" s="564">
        <v>29</v>
      </c>
      <c r="Q27" s="564">
        <v>188</v>
      </c>
      <c r="R27" s="564">
        <v>62</v>
      </c>
      <c r="S27" s="564">
        <v>310</v>
      </c>
      <c r="T27" s="564">
        <v>92</v>
      </c>
      <c r="U27" s="564">
        <v>20</v>
      </c>
      <c r="V27" s="564">
        <v>42</v>
      </c>
      <c r="W27" s="564"/>
      <c r="X27" s="287">
        <v>0</v>
      </c>
    </row>
    <row r="28" spans="1:24">
      <c r="A28" s="594">
        <v>23</v>
      </c>
      <c r="B28" s="561" t="s">
        <v>62</v>
      </c>
      <c r="C28" s="562" t="s">
        <v>85</v>
      </c>
      <c r="D28" s="563">
        <v>89</v>
      </c>
      <c r="E28" s="564">
        <v>1103</v>
      </c>
      <c r="F28" s="564">
        <v>1182</v>
      </c>
      <c r="G28" s="564">
        <v>168</v>
      </c>
      <c r="H28" s="564">
        <v>63</v>
      </c>
      <c r="I28" s="565">
        <v>1.0947</v>
      </c>
      <c r="J28" s="565">
        <v>1.0680000000000001</v>
      </c>
      <c r="K28" s="564">
        <v>217.16</v>
      </c>
      <c r="L28" s="564">
        <v>182.45</v>
      </c>
      <c r="M28" s="564">
        <v>280</v>
      </c>
      <c r="N28" s="566">
        <v>2.1</v>
      </c>
      <c r="O28" s="566">
        <v>8.4</v>
      </c>
      <c r="P28" s="564">
        <v>24</v>
      </c>
      <c r="Q28" s="564">
        <v>30</v>
      </c>
      <c r="R28" s="564">
        <v>74</v>
      </c>
      <c r="S28" s="564">
        <v>401</v>
      </c>
      <c r="T28" s="564">
        <v>143</v>
      </c>
      <c r="U28" s="564">
        <v>44</v>
      </c>
      <c r="V28" s="564">
        <v>125</v>
      </c>
      <c r="W28" s="564"/>
      <c r="X28" s="287">
        <v>0</v>
      </c>
    </row>
    <row r="29" spans="1:24">
      <c r="A29" s="594">
        <v>24</v>
      </c>
      <c r="B29" s="561" t="s">
        <v>62</v>
      </c>
      <c r="C29" s="562" t="s">
        <v>86</v>
      </c>
      <c r="D29" s="563">
        <v>92</v>
      </c>
      <c r="E29" s="564">
        <v>1153</v>
      </c>
      <c r="F29" s="564">
        <v>1239</v>
      </c>
      <c r="G29" s="564">
        <v>113</v>
      </c>
      <c r="H29" s="564">
        <v>118</v>
      </c>
      <c r="I29" s="565">
        <v>1.1200000000000001</v>
      </c>
      <c r="J29" s="565">
        <v>1.1399999999999999</v>
      </c>
      <c r="K29" s="564">
        <v>191</v>
      </c>
      <c r="L29" s="564">
        <v>121</v>
      </c>
      <c r="M29" s="564">
        <v>294</v>
      </c>
      <c r="N29" s="566">
        <v>7</v>
      </c>
      <c r="O29" s="566">
        <v>10</v>
      </c>
      <c r="P29" s="564">
        <v>100</v>
      </c>
      <c r="Q29" s="564">
        <v>61</v>
      </c>
      <c r="R29" s="564">
        <v>130</v>
      </c>
      <c r="S29" s="564">
        <v>259</v>
      </c>
      <c r="T29" s="564">
        <v>197</v>
      </c>
      <c r="U29" s="564">
        <v>78</v>
      </c>
      <c r="V29" s="564">
        <v>139</v>
      </c>
      <c r="W29" s="564">
        <v>-184</v>
      </c>
      <c r="X29" s="287">
        <v>0</v>
      </c>
    </row>
    <row r="30" spans="1:24">
      <c r="A30" s="594">
        <v>25</v>
      </c>
      <c r="B30" s="561" t="s">
        <v>62</v>
      </c>
      <c r="C30" s="562" t="s">
        <v>87</v>
      </c>
      <c r="D30" s="563">
        <v>89</v>
      </c>
      <c r="E30" s="564">
        <v>842</v>
      </c>
      <c r="F30" s="564">
        <v>865</v>
      </c>
      <c r="G30" s="564">
        <v>122</v>
      </c>
      <c r="H30" s="564">
        <v>149</v>
      </c>
      <c r="I30" s="565">
        <v>0.88</v>
      </c>
      <c r="J30" s="565">
        <v>0.83</v>
      </c>
      <c r="K30" s="564">
        <v>221</v>
      </c>
      <c r="L30" s="564">
        <v>139</v>
      </c>
      <c r="M30" s="564">
        <v>339</v>
      </c>
      <c r="N30" s="566">
        <v>7.7</v>
      </c>
      <c r="O30" s="566">
        <v>11.3</v>
      </c>
      <c r="P30" s="564">
        <v>94</v>
      </c>
      <c r="Q30" s="564">
        <v>56</v>
      </c>
      <c r="R30" s="564">
        <v>127</v>
      </c>
      <c r="S30" s="564">
        <v>281</v>
      </c>
      <c r="T30" s="564">
        <v>185</v>
      </c>
      <c r="U30" s="564">
        <v>86</v>
      </c>
      <c r="V30" s="564">
        <v>22</v>
      </c>
      <c r="W30" s="564">
        <v>-147</v>
      </c>
      <c r="X30" s="287">
        <v>0</v>
      </c>
    </row>
    <row r="31" spans="1:24">
      <c r="A31" s="594">
        <v>26</v>
      </c>
      <c r="B31" s="561" t="s">
        <v>62</v>
      </c>
      <c r="C31" s="562" t="s">
        <v>88</v>
      </c>
      <c r="D31" s="563">
        <v>88</v>
      </c>
      <c r="E31" s="564">
        <v>890</v>
      </c>
      <c r="F31" s="564">
        <v>890</v>
      </c>
      <c r="G31" s="564">
        <v>289</v>
      </c>
      <c r="H31" s="564">
        <v>-23</v>
      </c>
      <c r="I31" s="565">
        <v>0.83</v>
      </c>
      <c r="J31" s="565">
        <v>0.83</v>
      </c>
      <c r="K31" s="564">
        <v>290</v>
      </c>
      <c r="L31" s="564">
        <v>260</v>
      </c>
      <c r="M31" s="564">
        <v>337</v>
      </c>
      <c r="N31" s="566">
        <v>7.6</v>
      </c>
      <c r="O31" s="566">
        <v>10.199999999999999</v>
      </c>
      <c r="P31" s="564">
        <v>77</v>
      </c>
      <c r="Q31" s="564">
        <v>50</v>
      </c>
      <c r="R31" s="564">
        <v>125</v>
      </c>
      <c r="S31" s="564">
        <v>270</v>
      </c>
      <c r="T31" s="564">
        <v>280</v>
      </c>
      <c r="U31" s="564">
        <v>80</v>
      </c>
      <c r="V31" s="564">
        <v>2.2999999999999998</v>
      </c>
      <c r="W31" s="564">
        <v>-147</v>
      </c>
      <c r="X31" s="287">
        <v>0</v>
      </c>
    </row>
    <row r="32" spans="1:24">
      <c r="A32" s="594">
        <v>27</v>
      </c>
      <c r="B32" s="561" t="s">
        <v>62</v>
      </c>
      <c r="C32" s="562" t="s">
        <v>89</v>
      </c>
      <c r="D32" s="563">
        <v>88</v>
      </c>
      <c r="E32" s="564">
        <v>860</v>
      </c>
      <c r="F32" s="564">
        <v>890</v>
      </c>
      <c r="G32" s="564">
        <v>240</v>
      </c>
      <c r="H32" s="564">
        <v>27</v>
      </c>
      <c r="I32" s="565">
        <v>0.85</v>
      </c>
      <c r="J32" s="565">
        <v>0.83</v>
      </c>
      <c r="K32" s="564">
        <v>255</v>
      </c>
      <c r="L32" s="564">
        <v>246</v>
      </c>
      <c r="M32" s="564">
        <v>337</v>
      </c>
      <c r="N32" s="566">
        <v>7.6</v>
      </c>
      <c r="O32" s="566">
        <v>10.199999999999999</v>
      </c>
      <c r="P32" s="564">
        <v>77</v>
      </c>
      <c r="Q32" s="564">
        <v>50</v>
      </c>
      <c r="R32" s="564">
        <v>125</v>
      </c>
      <c r="S32" s="564">
        <v>270</v>
      </c>
      <c r="T32" s="564">
        <v>280</v>
      </c>
      <c r="U32" s="564">
        <v>80</v>
      </c>
      <c r="V32" s="564">
        <v>2.2999999999999998</v>
      </c>
      <c r="W32" s="564">
        <v>-147</v>
      </c>
      <c r="X32" s="287">
        <v>0</v>
      </c>
    </row>
    <row r="33" spans="1:24">
      <c r="A33" s="594">
        <v>28</v>
      </c>
      <c r="B33" s="561" t="s">
        <v>62</v>
      </c>
      <c r="C33" s="562" t="s">
        <v>90</v>
      </c>
      <c r="D33" s="563">
        <v>87.8</v>
      </c>
      <c r="E33" s="564">
        <v>964</v>
      </c>
      <c r="F33" s="564">
        <v>1030</v>
      </c>
      <c r="G33" s="564">
        <v>148</v>
      </c>
      <c r="H33" s="564">
        <v>36</v>
      </c>
      <c r="I33" s="565">
        <v>1</v>
      </c>
      <c r="J33" s="565">
        <v>0.99</v>
      </c>
      <c r="K33" s="564">
        <v>176</v>
      </c>
      <c r="L33" s="564">
        <v>154</v>
      </c>
      <c r="M33" s="564">
        <v>237</v>
      </c>
      <c r="N33" s="566">
        <v>0.5</v>
      </c>
      <c r="O33" s="566">
        <v>5.8</v>
      </c>
      <c r="P33" s="564">
        <v>9</v>
      </c>
      <c r="Q33" s="564">
        <v>178</v>
      </c>
      <c r="R33" s="564">
        <v>89</v>
      </c>
      <c r="S33" s="564">
        <v>374</v>
      </c>
      <c r="T33" s="564">
        <v>104</v>
      </c>
      <c r="U33" s="564">
        <v>20</v>
      </c>
      <c r="V33" s="564">
        <v>24</v>
      </c>
      <c r="W33" s="564">
        <v>-68</v>
      </c>
      <c r="X33" s="287">
        <v>0</v>
      </c>
    </row>
    <row r="34" spans="1:24">
      <c r="A34" s="594">
        <v>29</v>
      </c>
      <c r="B34" s="561" t="s">
        <v>62</v>
      </c>
      <c r="C34" s="562" t="s">
        <v>91</v>
      </c>
      <c r="D34" s="563">
        <v>87.9</v>
      </c>
      <c r="E34" s="564">
        <v>865</v>
      </c>
      <c r="F34" s="564">
        <v>896</v>
      </c>
      <c r="G34" s="564">
        <v>165</v>
      </c>
      <c r="H34" s="564">
        <v>92</v>
      </c>
      <c r="I34" s="565">
        <v>0.9</v>
      </c>
      <c r="J34" s="565">
        <v>0.86</v>
      </c>
      <c r="K34" s="564">
        <v>229</v>
      </c>
      <c r="L34" s="564">
        <v>179</v>
      </c>
      <c r="M34" s="564">
        <v>320</v>
      </c>
      <c r="N34" s="566">
        <v>3.9</v>
      </c>
      <c r="O34" s="566">
        <v>8.8000000000000007</v>
      </c>
      <c r="P34" s="564">
        <v>45</v>
      </c>
      <c r="Q34" s="564">
        <v>82</v>
      </c>
      <c r="R34" s="564">
        <v>100</v>
      </c>
      <c r="S34" s="564">
        <v>218</v>
      </c>
      <c r="T34" s="564">
        <v>137</v>
      </c>
      <c r="U34" s="564">
        <v>59</v>
      </c>
      <c r="V34" s="564">
        <v>34</v>
      </c>
      <c r="W34" s="564">
        <v>74</v>
      </c>
      <c r="X34" s="287">
        <v>0</v>
      </c>
    </row>
    <row r="35" spans="1:24">
      <c r="A35" s="594">
        <v>30</v>
      </c>
      <c r="B35" s="561" t="s">
        <v>62</v>
      </c>
      <c r="C35" s="562" t="s">
        <v>92</v>
      </c>
      <c r="D35" s="563">
        <v>91.2</v>
      </c>
      <c r="E35" s="564">
        <v>993</v>
      </c>
      <c r="F35" s="564">
        <v>1038</v>
      </c>
      <c r="G35" s="564">
        <v>162</v>
      </c>
      <c r="H35" s="564">
        <v>99</v>
      </c>
      <c r="I35" s="565">
        <v>1.04</v>
      </c>
      <c r="J35" s="565">
        <v>1.01</v>
      </c>
      <c r="K35" s="564">
        <v>230</v>
      </c>
      <c r="L35" s="564">
        <v>177</v>
      </c>
      <c r="M35" s="564">
        <v>323</v>
      </c>
      <c r="N35" s="566">
        <v>3.9</v>
      </c>
      <c r="O35" s="566">
        <v>8.5</v>
      </c>
      <c r="P35" s="564">
        <v>39</v>
      </c>
      <c r="Q35" s="564">
        <v>66</v>
      </c>
      <c r="R35" s="564">
        <v>88</v>
      </c>
      <c r="S35" s="564">
        <v>216</v>
      </c>
      <c r="T35" s="564">
        <v>136</v>
      </c>
      <c r="U35" s="564">
        <v>57</v>
      </c>
      <c r="V35" s="564">
        <v>98</v>
      </c>
      <c r="W35" s="564">
        <v>62</v>
      </c>
      <c r="X35" s="287">
        <v>0</v>
      </c>
    </row>
    <row r="36" spans="1:24">
      <c r="A36" s="594">
        <v>31</v>
      </c>
      <c r="B36" s="561" t="s">
        <v>62</v>
      </c>
      <c r="C36" s="562" t="s">
        <v>93</v>
      </c>
      <c r="D36" s="563">
        <v>91.7</v>
      </c>
      <c r="E36" s="564">
        <v>814</v>
      </c>
      <c r="F36" s="564">
        <v>815</v>
      </c>
      <c r="G36" s="564">
        <v>94</v>
      </c>
      <c r="H36" s="564">
        <v>-4</v>
      </c>
      <c r="I36" s="565">
        <v>0.84</v>
      </c>
      <c r="J36" s="565">
        <v>0.78</v>
      </c>
      <c r="K36" s="564">
        <v>111</v>
      </c>
      <c r="L36" s="564">
        <v>117</v>
      </c>
      <c r="M36" s="564">
        <v>156</v>
      </c>
      <c r="N36" s="566">
        <v>2.8</v>
      </c>
      <c r="O36" s="566">
        <v>5.5</v>
      </c>
      <c r="P36" s="564">
        <v>20</v>
      </c>
      <c r="Q36" s="564">
        <v>10</v>
      </c>
      <c r="R36" s="564">
        <v>190</v>
      </c>
      <c r="S36" s="564">
        <v>669</v>
      </c>
      <c r="T36" s="564">
        <v>403</v>
      </c>
      <c r="U36" s="564">
        <v>130</v>
      </c>
      <c r="V36" s="564">
        <v>76</v>
      </c>
      <c r="W36" s="564">
        <v>-45</v>
      </c>
      <c r="X36" s="287">
        <v>0</v>
      </c>
    </row>
    <row r="37" spans="1:24">
      <c r="A37" s="594">
        <v>32</v>
      </c>
      <c r="B37" s="561" t="s">
        <v>62</v>
      </c>
      <c r="C37" s="562" t="s">
        <v>94</v>
      </c>
      <c r="D37" s="563">
        <v>90.6</v>
      </c>
      <c r="E37" s="564">
        <v>752</v>
      </c>
      <c r="F37" s="564">
        <v>749</v>
      </c>
      <c r="G37" s="564">
        <v>102</v>
      </c>
      <c r="H37" s="564">
        <v>-6</v>
      </c>
      <c r="I37" s="565">
        <v>0.77</v>
      </c>
      <c r="J37" s="565">
        <v>0.71</v>
      </c>
      <c r="K37" s="564">
        <v>118</v>
      </c>
      <c r="L37" s="564">
        <v>125</v>
      </c>
      <c r="M37" s="564">
        <v>166</v>
      </c>
      <c r="N37" s="566">
        <v>2.7</v>
      </c>
      <c r="O37" s="566">
        <v>5.5</v>
      </c>
      <c r="P37" s="564">
        <v>20</v>
      </c>
      <c r="Q37" s="564">
        <v>5</v>
      </c>
      <c r="R37" s="564">
        <v>187</v>
      </c>
      <c r="S37" s="564">
        <v>661</v>
      </c>
      <c r="T37" s="564">
        <v>398</v>
      </c>
      <c r="U37" s="564">
        <v>128</v>
      </c>
      <c r="V37" s="564">
        <v>29</v>
      </c>
      <c r="W37" s="564">
        <v>-31</v>
      </c>
      <c r="X37" s="287">
        <v>0</v>
      </c>
    </row>
    <row r="38" spans="1:24">
      <c r="A38" s="594">
        <v>33</v>
      </c>
      <c r="B38" s="561" t="s">
        <v>62</v>
      </c>
      <c r="C38" s="562" t="s">
        <v>95</v>
      </c>
      <c r="D38" s="563">
        <v>93.2</v>
      </c>
      <c r="E38" s="564">
        <v>1180</v>
      </c>
      <c r="F38" s="564">
        <v>1276</v>
      </c>
      <c r="G38" s="564">
        <v>211</v>
      </c>
      <c r="H38" s="564">
        <v>181</v>
      </c>
      <c r="I38" s="565">
        <v>1.27</v>
      </c>
      <c r="J38" s="565">
        <v>1.28</v>
      </c>
      <c r="K38" s="564">
        <v>320</v>
      </c>
      <c r="L38" s="564">
        <v>220</v>
      </c>
      <c r="M38" s="564">
        <v>438</v>
      </c>
      <c r="N38" s="566">
        <v>3.4</v>
      </c>
      <c r="O38" s="566">
        <v>6.5</v>
      </c>
      <c r="P38" s="564">
        <v>87</v>
      </c>
      <c r="Q38" s="564">
        <v>47</v>
      </c>
      <c r="R38" s="564">
        <v>60</v>
      </c>
      <c r="S38" s="564">
        <v>127</v>
      </c>
      <c r="T38" s="564">
        <v>74</v>
      </c>
      <c r="U38" s="564">
        <v>7</v>
      </c>
      <c r="V38" s="564">
        <v>89</v>
      </c>
      <c r="W38" s="564">
        <v>346</v>
      </c>
      <c r="X38" s="287">
        <v>0</v>
      </c>
    </row>
    <row r="39" spans="1:24">
      <c r="A39" s="594">
        <v>34</v>
      </c>
      <c r="B39" s="561" t="s">
        <v>62</v>
      </c>
      <c r="C39" s="562" t="s">
        <v>96</v>
      </c>
      <c r="D39" s="563">
        <v>87.7</v>
      </c>
      <c r="E39" s="564">
        <v>1027</v>
      </c>
      <c r="F39" s="564">
        <v>1111</v>
      </c>
      <c r="G39" s="564">
        <v>216</v>
      </c>
      <c r="H39" s="564">
        <v>174</v>
      </c>
      <c r="I39" s="565">
        <v>1.1000000000000001</v>
      </c>
      <c r="J39" s="565">
        <v>1.1100000000000001</v>
      </c>
      <c r="K39" s="564">
        <v>317</v>
      </c>
      <c r="L39" s="564">
        <v>222</v>
      </c>
      <c r="M39" s="564">
        <v>435</v>
      </c>
      <c r="N39" s="566">
        <v>3.4</v>
      </c>
      <c r="O39" s="566">
        <v>6.2</v>
      </c>
      <c r="P39" s="564">
        <v>93</v>
      </c>
      <c r="Q39" s="564">
        <v>60</v>
      </c>
      <c r="R39" s="564">
        <v>63</v>
      </c>
      <c r="S39" s="564">
        <v>130</v>
      </c>
      <c r="T39" s="564">
        <v>78</v>
      </c>
      <c r="U39" s="564">
        <v>7</v>
      </c>
      <c r="V39" s="564">
        <v>17</v>
      </c>
      <c r="W39" s="564">
        <v>295</v>
      </c>
      <c r="X39" s="287">
        <v>0</v>
      </c>
    </row>
    <row r="40" spans="1:24">
      <c r="A40" s="594">
        <v>35</v>
      </c>
      <c r="B40" s="561" t="s">
        <v>62</v>
      </c>
      <c r="C40" s="562" t="s">
        <v>97</v>
      </c>
      <c r="D40" s="563">
        <v>88</v>
      </c>
      <c r="E40" s="564">
        <v>1037</v>
      </c>
      <c r="F40" s="564">
        <v>1122</v>
      </c>
      <c r="G40" s="564">
        <v>226</v>
      </c>
      <c r="H40" s="564">
        <v>191</v>
      </c>
      <c r="I40" s="565">
        <v>1.1100000000000001</v>
      </c>
      <c r="J40" s="565">
        <v>1.1299999999999999</v>
      </c>
      <c r="K40" s="564">
        <v>338</v>
      </c>
      <c r="L40" s="564">
        <v>233</v>
      </c>
      <c r="M40" s="564">
        <v>462</v>
      </c>
      <c r="N40" s="566">
        <v>3.4</v>
      </c>
      <c r="O40" s="566">
        <v>6.2</v>
      </c>
      <c r="P40" s="564">
        <v>81</v>
      </c>
      <c r="Q40" s="564">
        <v>50</v>
      </c>
      <c r="R40" s="564">
        <v>60</v>
      </c>
      <c r="S40" s="564">
        <v>125</v>
      </c>
      <c r="T40" s="564">
        <v>74</v>
      </c>
      <c r="U40" s="564">
        <v>6</v>
      </c>
      <c r="V40" s="564">
        <v>15</v>
      </c>
      <c r="W40" s="564">
        <v>286</v>
      </c>
      <c r="X40" s="287">
        <v>0</v>
      </c>
    </row>
    <row r="41" spans="1:24">
      <c r="A41" s="594">
        <v>36</v>
      </c>
      <c r="B41" s="561" t="s">
        <v>62</v>
      </c>
      <c r="C41" s="562" t="s">
        <v>98</v>
      </c>
      <c r="D41" s="563">
        <v>88</v>
      </c>
      <c r="E41" s="564">
        <v>1037</v>
      </c>
      <c r="F41" s="564">
        <v>1122</v>
      </c>
      <c r="G41" s="564">
        <v>238</v>
      </c>
      <c r="H41" s="564">
        <v>175</v>
      </c>
      <c r="I41" s="565">
        <v>1.1100000000000001</v>
      </c>
      <c r="J41" s="565">
        <v>1.1299999999999999</v>
      </c>
      <c r="K41" s="564">
        <v>341</v>
      </c>
      <c r="L41" s="564">
        <v>245</v>
      </c>
      <c r="M41" s="564">
        <v>462</v>
      </c>
      <c r="N41" s="566">
        <v>3.4</v>
      </c>
      <c r="O41" s="566">
        <v>6.2</v>
      </c>
      <c r="P41" s="564">
        <v>81</v>
      </c>
      <c r="Q41" s="564">
        <v>50</v>
      </c>
      <c r="R41" s="564">
        <v>60</v>
      </c>
      <c r="S41" s="564">
        <v>125</v>
      </c>
      <c r="T41" s="564">
        <v>74</v>
      </c>
      <c r="U41" s="564">
        <v>6</v>
      </c>
      <c r="V41" s="564">
        <v>15</v>
      </c>
      <c r="W41" s="564">
        <v>286</v>
      </c>
      <c r="X41" s="287">
        <v>0</v>
      </c>
    </row>
    <row r="42" spans="1:24">
      <c r="A42" s="594">
        <v>37</v>
      </c>
      <c r="B42" s="561" t="s">
        <v>62</v>
      </c>
      <c r="C42" s="562" t="s">
        <v>99</v>
      </c>
      <c r="D42" s="563">
        <v>88</v>
      </c>
      <c r="E42" s="564">
        <v>1037</v>
      </c>
      <c r="F42" s="564">
        <v>1122</v>
      </c>
      <c r="G42" s="564">
        <v>372</v>
      </c>
      <c r="H42" s="564">
        <v>40</v>
      </c>
      <c r="I42" s="565">
        <v>1.1100000000000001</v>
      </c>
      <c r="J42" s="565">
        <v>1.1299999999999999</v>
      </c>
      <c r="K42" s="564">
        <v>396</v>
      </c>
      <c r="L42" s="564">
        <v>379</v>
      </c>
      <c r="M42" s="564">
        <v>462</v>
      </c>
      <c r="N42" s="566">
        <v>3.4</v>
      </c>
      <c r="O42" s="566">
        <v>6.2</v>
      </c>
      <c r="P42" s="564">
        <v>81</v>
      </c>
      <c r="Q42" s="564">
        <v>50</v>
      </c>
      <c r="R42" s="564">
        <v>60</v>
      </c>
      <c r="S42" s="564">
        <v>125</v>
      </c>
      <c r="T42" s="564">
        <v>74</v>
      </c>
      <c r="U42" s="564">
        <v>6</v>
      </c>
      <c r="V42" s="564">
        <v>15</v>
      </c>
      <c r="W42" s="564">
        <v>286</v>
      </c>
      <c r="X42" s="287">
        <v>0</v>
      </c>
    </row>
    <row r="43" spans="1:24">
      <c r="A43" s="594">
        <v>38</v>
      </c>
      <c r="B43" s="561" t="s">
        <v>62</v>
      </c>
      <c r="C43" s="562" t="s">
        <v>100</v>
      </c>
      <c r="D43" s="563">
        <v>88</v>
      </c>
      <c r="E43" s="564">
        <v>1044</v>
      </c>
      <c r="F43" s="564">
        <v>1131</v>
      </c>
      <c r="G43" s="564">
        <v>237</v>
      </c>
      <c r="H43" s="564">
        <v>205</v>
      </c>
      <c r="I43" s="565">
        <v>1.1200000000000001</v>
      </c>
      <c r="J43" s="565">
        <v>1.1399999999999999</v>
      </c>
      <c r="K43" s="564">
        <v>356</v>
      </c>
      <c r="L43" s="564">
        <v>243</v>
      </c>
      <c r="M43" s="564">
        <v>485</v>
      </c>
      <c r="N43" s="566">
        <v>3.4</v>
      </c>
      <c r="O43" s="566">
        <v>6.2</v>
      </c>
      <c r="P43" s="564">
        <v>95</v>
      </c>
      <c r="Q43" s="564">
        <v>55</v>
      </c>
      <c r="R43" s="564">
        <v>39</v>
      </c>
      <c r="S43" s="564">
        <v>93</v>
      </c>
      <c r="T43" s="564">
        <v>50</v>
      </c>
      <c r="U43" s="564">
        <v>4</v>
      </c>
      <c r="V43" s="564">
        <v>15</v>
      </c>
      <c r="W43" s="564">
        <v>273</v>
      </c>
      <c r="X43" s="287">
        <v>0</v>
      </c>
    </row>
    <row r="44" spans="1:24">
      <c r="A44" s="594">
        <v>39</v>
      </c>
      <c r="B44" s="561" t="s">
        <v>62</v>
      </c>
      <c r="C44" s="562" t="s">
        <v>101</v>
      </c>
      <c r="D44" s="563">
        <v>93.8</v>
      </c>
      <c r="E44" s="564">
        <v>875</v>
      </c>
      <c r="F44" s="564">
        <v>876</v>
      </c>
      <c r="G44" s="564">
        <v>98</v>
      </c>
      <c r="H44" s="564">
        <v>185</v>
      </c>
      <c r="I44" s="565">
        <v>0.91</v>
      </c>
      <c r="J44" s="565">
        <v>0.85</v>
      </c>
      <c r="K44" s="564">
        <v>222</v>
      </c>
      <c r="L44" s="564">
        <v>119</v>
      </c>
      <c r="M44" s="564">
        <v>337</v>
      </c>
      <c r="N44" s="566">
        <v>3.9</v>
      </c>
      <c r="O44" s="566">
        <v>9.9</v>
      </c>
      <c r="P44" s="564">
        <v>69</v>
      </c>
      <c r="Q44" s="564">
        <v>51</v>
      </c>
      <c r="R44" s="564">
        <v>184</v>
      </c>
      <c r="S44" s="564">
        <v>326</v>
      </c>
      <c r="T44" s="564">
        <v>218</v>
      </c>
      <c r="U44" s="564">
        <v>70</v>
      </c>
      <c r="V44" s="564">
        <v>89</v>
      </c>
      <c r="W44" s="564">
        <v>143</v>
      </c>
      <c r="X44" s="287">
        <v>0</v>
      </c>
    </row>
    <row r="45" spans="1:24">
      <c r="A45" s="594">
        <v>40</v>
      </c>
      <c r="B45" s="561" t="s">
        <v>62</v>
      </c>
      <c r="C45" s="562" t="s">
        <v>102</v>
      </c>
      <c r="D45" s="563">
        <v>92.3</v>
      </c>
      <c r="E45" s="564">
        <v>803</v>
      </c>
      <c r="F45" s="564">
        <v>773</v>
      </c>
      <c r="G45" s="564">
        <v>56</v>
      </c>
      <c r="H45" s="564">
        <v>128</v>
      </c>
      <c r="I45" s="565">
        <v>0.84</v>
      </c>
      <c r="J45" s="565">
        <v>0.75</v>
      </c>
      <c r="K45" s="564">
        <v>154</v>
      </c>
      <c r="L45" s="564">
        <v>82</v>
      </c>
      <c r="M45" s="564">
        <v>239</v>
      </c>
      <c r="N45" s="566">
        <v>3.6</v>
      </c>
      <c r="O45" s="566">
        <v>8.3000000000000007</v>
      </c>
      <c r="P45" s="564">
        <v>58</v>
      </c>
      <c r="Q45" s="564">
        <v>36</v>
      </c>
      <c r="R45" s="564">
        <v>254</v>
      </c>
      <c r="S45" s="564">
        <v>410</v>
      </c>
      <c r="T45" s="564">
        <v>291</v>
      </c>
      <c r="U45" s="564">
        <v>98</v>
      </c>
      <c r="V45" s="564">
        <v>146</v>
      </c>
      <c r="W45" s="564">
        <v>91</v>
      </c>
      <c r="X45" s="287">
        <v>0</v>
      </c>
    </row>
    <row r="46" spans="1:24">
      <c r="A46" s="594">
        <v>41</v>
      </c>
      <c r="B46" s="561" t="s">
        <v>62</v>
      </c>
      <c r="C46" s="562" t="s">
        <v>103</v>
      </c>
      <c r="D46" s="563">
        <v>90.4</v>
      </c>
      <c r="E46" s="564">
        <v>755</v>
      </c>
      <c r="F46" s="564">
        <v>749</v>
      </c>
      <c r="G46" s="564">
        <v>109</v>
      </c>
      <c r="H46" s="564">
        <v>200</v>
      </c>
      <c r="I46" s="565">
        <v>0.78</v>
      </c>
      <c r="J46" s="565">
        <v>0.71</v>
      </c>
      <c r="K46" s="564">
        <v>240</v>
      </c>
      <c r="L46" s="564">
        <v>129</v>
      </c>
      <c r="M46" s="564">
        <v>366</v>
      </c>
      <c r="N46" s="566">
        <v>4</v>
      </c>
      <c r="O46" s="566">
        <v>10.4</v>
      </c>
      <c r="P46" s="564">
        <v>67</v>
      </c>
      <c r="Q46" s="564">
        <v>35</v>
      </c>
      <c r="R46" s="564">
        <v>178</v>
      </c>
      <c r="S46" s="564">
        <v>314</v>
      </c>
      <c r="T46" s="564">
        <v>210</v>
      </c>
      <c r="U46" s="564">
        <v>67</v>
      </c>
      <c r="V46" s="564">
        <v>12</v>
      </c>
      <c r="W46" s="564">
        <v>77</v>
      </c>
      <c r="X46" s="287">
        <v>0</v>
      </c>
    </row>
    <row r="47" spans="1:24">
      <c r="A47" s="594">
        <v>42</v>
      </c>
      <c r="B47" s="561" t="s">
        <v>62</v>
      </c>
      <c r="C47" s="562" t="s">
        <v>104</v>
      </c>
      <c r="D47" s="563">
        <v>88.9</v>
      </c>
      <c r="E47" s="564">
        <v>610</v>
      </c>
      <c r="F47" s="564">
        <v>568</v>
      </c>
      <c r="G47" s="564">
        <v>70</v>
      </c>
      <c r="H47" s="564">
        <v>143</v>
      </c>
      <c r="I47" s="565">
        <v>0.62</v>
      </c>
      <c r="J47" s="565">
        <v>0.53</v>
      </c>
      <c r="K47" s="564">
        <v>176</v>
      </c>
      <c r="L47" s="564">
        <v>97</v>
      </c>
      <c r="M47" s="564">
        <v>273</v>
      </c>
      <c r="N47" s="566">
        <v>3.8</v>
      </c>
      <c r="O47" s="566">
        <v>9.6999999999999993</v>
      </c>
      <c r="P47" s="564">
        <v>53</v>
      </c>
      <c r="Q47" s="564">
        <v>33</v>
      </c>
      <c r="R47" s="564">
        <v>262</v>
      </c>
      <c r="S47" s="564">
        <v>417</v>
      </c>
      <c r="T47" s="564">
        <v>299</v>
      </c>
      <c r="U47" s="564">
        <v>101</v>
      </c>
      <c r="V47" s="564">
        <v>19</v>
      </c>
      <c r="W47" s="564">
        <v>90</v>
      </c>
      <c r="X47" s="287">
        <v>0</v>
      </c>
    </row>
    <row r="48" spans="1:24">
      <c r="A48" s="594">
        <v>43</v>
      </c>
      <c r="B48" s="561" t="s">
        <v>62</v>
      </c>
      <c r="C48" s="562" t="s">
        <v>105</v>
      </c>
      <c r="D48" s="563">
        <v>86.8</v>
      </c>
      <c r="E48" s="564">
        <v>1011</v>
      </c>
      <c r="F48" s="564">
        <v>1112</v>
      </c>
      <c r="G48" s="564">
        <v>80</v>
      </c>
      <c r="H48" s="564">
        <v>-27</v>
      </c>
      <c r="I48" s="565">
        <v>1.02</v>
      </c>
      <c r="J48" s="565">
        <v>1.04</v>
      </c>
      <c r="K48" s="564">
        <v>65</v>
      </c>
      <c r="L48" s="564">
        <v>85</v>
      </c>
      <c r="M48" s="564">
        <v>100</v>
      </c>
      <c r="N48" s="566">
        <v>0.6</v>
      </c>
      <c r="O48" s="566">
        <v>3.3</v>
      </c>
      <c r="P48" s="564">
        <v>30</v>
      </c>
      <c r="Q48" s="564">
        <v>588</v>
      </c>
      <c r="R48" s="564">
        <v>25</v>
      </c>
      <c r="S48" s="564">
        <v>130</v>
      </c>
      <c r="T48" s="564">
        <v>33</v>
      </c>
      <c r="U48" s="564">
        <v>10</v>
      </c>
      <c r="V48" s="564">
        <v>12</v>
      </c>
      <c r="W48" s="564">
        <v>23</v>
      </c>
      <c r="X48" s="287">
        <v>0</v>
      </c>
    </row>
    <row r="49" spans="1:27">
      <c r="A49" s="594">
        <v>44</v>
      </c>
      <c r="B49" s="561" t="s">
        <v>62</v>
      </c>
      <c r="C49" s="562" t="s">
        <v>106</v>
      </c>
      <c r="D49" s="563">
        <v>92</v>
      </c>
      <c r="E49" s="564">
        <v>1447</v>
      </c>
      <c r="F49" s="564">
        <v>1554</v>
      </c>
      <c r="G49" s="564">
        <v>55</v>
      </c>
      <c r="H49" s="564">
        <v>113</v>
      </c>
      <c r="I49" s="565">
        <v>1.57</v>
      </c>
      <c r="J49" s="565">
        <v>1.58</v>
      </c>
      <c r="K49" s="564">
        <v>133</v>
      </c>
      <c r="L49" s="564">
        <v>71</v>
      </c>
      <c r="M49" s="564">
        <v>207</v>
      </c>
      <c r="N49" s="566">
        <v>2.7</v>
      </c>
      <c r="O49" s="566">
        <v>5.8</v>
      </c>
      <c r="P49" s="564">
        <v>27</v>
      </c>
      <c r="Q49" s="564">
        <v>55</v>
      </c>
      <c r="R49" s="564">
        <v>91</v>
      </c>
      <c r="S49" s="564">
        <v>238</v>
      </c>
      <c r="T49" s="564">
        <v>129</v>
      </c>
      <c r="U49" s="564">
        <v>53</v>
      </c>
      <c r="V49" s="564">
        <v>346</v>
      </c>
      <c r="W49" s="564"/>
      <c r="X49" s="287">
        <v>0</v>
      </c>
    </row>
    <row r="50" spans="1:27">
      <c r="A50" s="594">
        <v>45</v>
      </c>
      <c r="B50" s="561" t="s">
        <v>62</v>
      </c>
      <c r="C50" s="562" t="s">
        <v>107</v>
      </c>
      <c r="D50" s="563">
        <v>88.1</v>
      </c>
      <c r="E50" s="564">
        <v>1170</v>
      </c>
      <c r="F50" s="564">
        <v>1279</v>
      </c>
      <c r="G50" s="564">
        <v>110</v>
      </c>
      <c r="H50" s="564">
        <v>177</v>
      </c>
      <c r="I50" s="565">
        <v>1.26</v>
      </c>
      <c r="J50" s="565">
        <v>1.29</v>
      </c>
      <c r="K50" s="564">
        <v>213</v>
      </c>
      <c r="L50" s="564">
        <v>116</v>
      </c>
      <c r="M50" s="564">
        <v>335</v>
      </c>
      <c r="N50" s="566">
        <v>2.7</v>
      </c>
      <c r="O50" s="566">
        <v>3.8</v>
      </c>
      <c r="P50" s="564">
        <v>6</v>
      </c>
      <c r="Q50" s="564">
        <v>6.2</v>
      </c>
      <c r="R50" s="564">
        <v>116</v>
      </c>
      <c r="S50" s="564">
        <v>189</v>
      </c>
      <c r="T50" s="564">
        <v>141</v>
      </c>
      <c r="U50" s="564">
        <v>9</v>
      </c>
      <c r="V50" s="564">
        <v>85</v>
      </c>
      <c r="W50" s="564"/>
      <c r="X50" s="287">
        <v>0</v>
      </c>
    </row>
    <row r="51" spans="1:27">
      <c r="A51" s="594">
        <v>46</v>
      </c>
      <c r="B51" s="648" t="s">
        <v>108</v>
      </c>
      <c r="C51" s="649" t="s">
        <v>109</v>
      </c>
      <c r="D51" s="650">
        <v>16.100000000000001</v>
      </c>
      <c r="E51" s="651">
        <v>1031</v>
      </c>
      <c r="F51" s="651">
        <v>1130</v>
      </c>
      <c r="G51" s="651">
        <v>99</v>
      </c>
      <c r="H51" s="651">
        <v>-74</v>
      </c>
      <c r="I51" s="652">
        <v>1.0559006211180124</v>
      </c>
      <c r="J51" s="652">
        <v>1.0559006211180124</v>
      </c>
      <c r="K51" s="651">
        <v>55.900621118012424</v>
      </c>
      <c r="L51" s="651">
        <v>88</v>
      </c>
      <c r="M51" s="651">
        <v>75</v>
      </c>
      <c r="N51" s="653">
        <v>5.5</v>
      </c>
      <c r="O51" s="653">
        <v>2.4</v>
      </c>
      <c r="P51" s="651">
        <v>658</v>
      </c>
      <c r="Q51" s="651">
        <v>0</v>
      </c>
      <c r="R51" s="651">
        <v>65</v>
      </c>
      <c r="S51" s="651">
        <v>160</v>
      </c>
      <c r="T51" s="651">
        <v>95</v>
      </c>
      <c r="U51" s="651">
        <v>9</v>
      </c>
      <c r="V51" s="651">
        <v>10</v>
      </c>
      <c r="W51" s="651"/>
      <c r="X51" s="287">
        <v>0</v>
      </c>
      <c r="Y51" s="649"/>
      <c r="Z51" s="649"/>
      <c r="AA51" s="649"/>
    </row>
    <row r="52" spans="1:27">
      <c r="A52" s="594">
        <v>47</v>
      </c>
      <c r="B52" s="561" t="s">
        <v>108</v>
      </c>
      <c r="C52" s="562" t="s">
        <v>110</v>
      </c>
      <c r="D52" s="563">
        <v>10.8</v>
      </c>
      <c r="E52" s="564">
        <v>1074</v>
      </c>
      <c r="F52" s="564">
        <v>1185</v>
      </c>
      <c r="G52" s="564">
        <v>74</v>
      </c>
      <c r="H52" s="564">
        <v>-45</v>
      </c>
      <c r="I52" s="565">
        <v>1.08</v>
      </c>
      <c r="J52" s="565">
        <v>1.08</v>
      </c>
      <c r="K52" s="564">
        <v>61</v>
      </c>
      <c r="L52" s="564">
        <v>82</v>
      </c>
      <c r="M52" s="564">
        <v>85</v>
      </c>
      <c r="N52" s="566">
        <v>4.5</v>
      </c>
      <c r="O52" s="566">
        <v>3</v>
      </c>
      <c r="P52" s="564">
        <v>45</v>
      </c>
      <c r="Q52" s="564">
        <v>0</v>
      </c>
      <c r="R52" s="564">
        <v>100</v>
      </c>
      <c r="S52" s="564">
        <v>175</v>
      </c>
      <c r="T52" s="564">
        <v>110</v>
      </c>
      <c r="U52" s="564">
        <v>10</v>
      </c>
      <c r="V52" s="564">
        <v>0</v>
      </c>
      <c r="W52" s="564"/>
      <c r="X52" s="287">
        <v>0</v>
      </c>
    </row>
    <row r="53" spans="1:27">
      <c r="A53" s="594">
        <v>48</v>
      </c>
      <c r="B53" s="561" t="s">
        <v>108</v>
      </c>
      <c r="C53" s="562" t="s">
        <v>111</v>
      </c>
      <c r="D53" s="563">
        <v>25</v>
      </c>
      <c r="E53" s="564">
        <v>952</v>
      </c>
      <c r="F53" s="564">
        <v>956</v>
      </c>
      <c r="G53" s="564">
        <v>141</v>
      </c>
      <c r="H53" s="564">
        <v>55</v>
      </c>
      <c r="I53" s="565">
        <v>0.9</v>
      </c>
      <c r="J53" s="565">
        <v>0.82</v>
      </c>
      <c r="K53" s="564">
        <v>146</v>
      </c>
      <c r="L53" s="564">
        <v>130</v>
      </c>
      <c r="M53" s="564">
        <v>256</v>
      </c>
      <c r="N53" s="566">
        <v>3.1</v>
      </c>
      <c r="O53" s="566">
        <v>6.1</v>
      </c>
      <c r="P53" s="564">
        <v>4</v>
      </c>
      <c r="Q53" s="564">
        <v>27</v>
      </c>
      <c r="R53" s="564">
        <v>164</v>
      </c>
      <c r="S53" s="564">
        <v>650</v>
      </c>
      <c r="T53" s="564">
        <v>276</v>
      </c>
      <c r="U53" s="564">
        <v>61</v>
      </c>
      <c r="V53" s="564">
        <v>77</v>
      </c>
      <c r="W53" s="564"/>
      <c r="X53" s="287">
        <v>0</v>
      </c>
    </row>
    <row r="54" spans="1:27">
      <c r="A54" s="594">
        <v>49</v>
      </c>
      <c r="B54" s="561" t="s">
        <v>108</v>
      </c>
      <c r="C54" s="562" t="s">
        <v>112</v>
      </c>
      <c r="D54" s="563">
        <v>16</v>
      </c>
      <c r="E54" s="564">
        <v>900</v>
      </c>
      <c r="F54" s="564">
        <v>950</v>
      </c>
      <c r="G54" s="564">
        <v>69</v>
      </c>
      <c r="H54" s="564">
        <v>25</v>
      </c>
      <c r="I54" s="565">
        <v>0.87</v>
      </c>
      <c r="J54" s="565">
        <v>0.85</v>
      </c>
      <c r="K54" s="564">
        <v>92</v>
      </c>
      <c r="L54" s="564">
        <v>82</v>
      </c>
      <c r="M54" s="564">
        <v>150</v>
      </c>
      <c r="N54" s="566">
        <v>11.3</v>
      </c>
      <c r="O54" s="566">
        <v>2.2000000000000002</v>
      </c>
      <c r="P54" s="564">
        <v>0</v>
      </c>
      <c r="Q54" s="564">
        <v>0</v>
      </c>
      <c r="R54" s="564">
        <v>120</v>
      </c>
      <c r="S54" s="564">
        <v>200</v>
      </c>
      <c r="T54" s="564">
        <v>150</v>
      </c>
      <c r="U54" s="564">
        <v>15</v>
      </c>
      <c r="V54" s="564">
        <v>0</v>
      </c>
      <c r="W54" s="564"/>
      <c r="X54" s="287">
        <v>0</v>
      </c>
    </row>
    <row r="55" spans="1:27">
      <c r="A55" s="594">
        <v>50</v>
      </c>
      <c r="B55" s="561" t="s">
        <v>108</v>
      </c>
      <c r="C55" s="562" t="s">
        <v>113</v>
      </c>
      <c r="D55" s="563">
        <v>22</v>
      </c>
      <c r="E55" s="564">
        <v>685</v>
      </c>
      <c r="F55" s="564">
        <v>660</v>
      </c>
      <c r="G55" s="564">
        <v>41</v>
      </c>
      <c r="H55" s="564">
        <v>59</v>
      </c>
      <c r="I55" s="565">
        <v>0.7</v>
      </c>
      <c r="J55" s="565">
        <v>0.625</v>
      </c>
      <c r="K55" s="564">
        <v>98</v>
      </c>
      <c r="L55" s="564">
        <v>62</v>
      </c>
      <c r="M55" s="564">
        <v>163</v>
      </c>
      <c r="N55" s="566">
        <v>8.5</v>
      </c>
      <c r="O55" s="566">
        <v>3.7</v>
      </c>
      <c r="P55" s="564">
        <v>0</v>
      </c>
      <c r="Q55" s="564">
        <v>0</v>
      </c>
      <c r="R55" s="564">
        <v>245</v>
      </c>
      <c r="S55" s="564">
        <v>541</v>
      </c>
      <c r="T55" s="564">
        <v>364</v>
      </c>
      <c r="U55" s="564">
        <v>70</v>
      </c>
      <c r="V55" s="564">
        <v>0</v>
      </c>
      <c r="W55" s="564"/>
      <c r="X55" s="287">
        <v>0</v>
      </c>
    </row>
    <row r="56" spans="1:27">
      <c r="A56" s="594">
        <v>51</v>
      </c>
      <c r="B56" s="561" t="s">
        <v>108</v>
      </c>
      <c r="C56" s="562" t="s">
        <v>114</v>
      </c>
      <c r="D56" s="563">
        <v>85</v>
      </c>
      <c r="E56" s="564">
        <v>861</v>
      </c>
      <c r="F56" s="564">
        <v>874</v>
      </c>
      <c r="G56" s="564">
        <v>87</v>
      </c>
      <c r="H56" s="564">
        <v>-4</v>
      </c>
      <c r="I56" s="565">
        <v>0.84</v>
      </c>
      <c r="J56" s="565">
        <v>0.82</v>
      </c>
      <c r="K56" s="564">
        <v>100</v>
      </c>
      <c r="L56" s="564">
        <v>96</v>
      </c>
      <c r="M56" s="564">
        <v>161</v>
      </c>
      <c r="N56" s="566">
        <v>7.2289156626506026</v>
      </c>
      <c r="O56" s="566">
        <v>3.0120481927710845</v>
      </c>
      <c r="P56" s="564">
        <v>150</v>
      </c>
      <c r="Q56" s="564">
        <v>0</v>
      </c>
      <c r="R56" s="564">
        <v>225</v>
      </c>
      <c r="S56" s="564">
        <v>443</v>
      </c>
      <c r="T56" s="564">
        <v>253</v>
      </c>
      <c r="U56" s="564">
        <v>35</v>
      </c>
      <c r="V56" s="564">
        <v>0</v>
      </c>
      <c r="W56" s="564">
        <v>350</v>
      </c>
      <c r="X56" s="287">
        <v>0</v>
      </c>
    </row>
    <row r="57" spans="1:27">
      <c r="A57" s="594">
        <v>52</v>
      </c>
      <c r="B57" s="561" t="s">
        <v>108</v>
      </c>
      <c r="C57" s="562" t="s">
        <v>115</v>
      </c>
      <c r="D57" s="563">
        <v>85</v>
      </c>
      <c r="E57" s="564">
        <v>685</v>
      </c>
      <c r="F57" s="564">
        <v>648</v>
      </c>
      <c r="G57" s="564">
        <v>66</v>
      </c>
      <c r="H57" s="564">
        <v>12</v>
      </c>
      <c r="I57" s="565">
        <v>0.625</v>
      </c>
      <c r="J57" s="565">
        <v>0.52500000000000002</v>
      </c>
      <c r="K57" s="564">
        <v>98</v>
      </c>
      <c r="L57" s="564">
        <v>83</v>
      </c>
      <c r="M57" s="564">
        <v>183</v>
      </c>
      <c r="N57" s="566">
        <v>18.072289156626507</v>
      </c>
      <c r="O57" s="566">
        <v>3.2530120481927711</v>
      </c>
      <c r="P57" s="564">
        <v>2</v>
      </c>
      <c r="Q57" s="564">
        <v>0</v>
      </c>
      <c r="R57" s="564">
        <v>300</v>
      </c>
      <c r="S57" s="564">
        <v>481</v>
      </c>
      <c r="T57" s="564">
        <v>303</v>
      </c>
      <c r="U57" s="564">
        <v>48</v>
      </c>
      <c r="V57" s="564">
        <v>0</v>
      </c>
      <c r="W57" s="564">
        <v>350</v>
      </c>
      <c r="X57" s="287">
        <v>0</v>
      </c>
    </row>
    <row r="58" spans="1:27">
      <c r="A58" s="594">
        <v>53</v>
      </c>
      <c r="B58" s="561" t="s">
        <v>108</v>
      </c>
      <c r="C58" s="562" t="s">
        <v>116</v>
      </c>
      <c r="D58" s="563">
        <v>83</v>
      </c>
      <c r="E58" s="564">
        <v>850.60240963855426</v>
      </c>
      <c r="F58" s="564">
        <v>814.45783132530119</v>
      </c>
      <c r="G58" s="564">
        <v>71.084337349397586</v>
      </c>
      <c r="H58" s="564">
        <v>-28.91566265060241</v>
      </c>
      <c r="I58" s="565">
        <v>0.75</v>
      </c>
      <c r="J58" s="565">
        <v>0.7</v>
      </c>
      <c r="K58" s="564">
        <v>75</v>
      </c>
      <c r="L58" s="564">
        <v>75</v>
      </c>
      <c r="M58" s="564">
        <v>120</v>
      </c>
      <c r="N58" s="566">
        <v>7.2289156626506026</v>
      </c>
      <c r="O58" s="566">
        <v>3.0120481927710845</v>
      </c>
      <c r="P58" s="564">
        <v>0</v>
      </c>
      <c r="Q58" s="564">
        <v>0</v>
      </c>
      <c r="R58" s="564">
        <v>300</v>
      </c>
      <c r="S58" s="564">
        <v>620</v>
      </c>
      <c r="T58" s="564">
        <v>310</v>
      </c>
      <c r="U58" s="564">
        <v>40</v>
      </c>
      <c r="V58" s="564">
        <v>13</v>
      </c>
      <c r="W58" s="564">
        <v>350</v>
      </c>
      <c r="X58" s="287">
        <v>0</v>
      </c>
    </row>
    <row r="59" spans="1:27">
      <c r="A59" s="594">
        <v>54</v>
      </c>
      <c r="B59" s="561" t="s">
        <v>108</v>
      </c>
      <c r="C59" s="562" t="s">
        <v>117</v>
      </c>
      <c r="D59" s="563">
        <v>90</v>
      </c>
      <c r="E59" s="564">
        <v>645</v>
      </c>
      <c r="F59" s="564">
        <v>645</v>
      </c>
      <c r="G59" s="564">
        <v>75</v>
      </c>
      <c r="H59" s="564">
        <v>27</v>
      </c>
      <c r="I59" s="565">
        <v>0.61</v>
      </c>
      <c r="J59" s="565">
        <v>0.61</v>
      </c>
      <c r="K59" s="564">
        <v>102</v>
      </c>
      <c r="L59" s="564">
        <v>91</v>
      </c>
      <c r="M59" s="564">
        <v>153</v>
      </c>
      <c r="N59" s="566">
        <v>22</v>
      </c>
      <c r="O59" s="566">
        <v>2.8</v>
      </c>
      <c r="P59" s="564">
        <v>30</v>
      </c>
      <c r="Q59" s="564">
        <v>0</v>
      </c>
      <c r="R59" s="564">
        <v>250</v>
      </c>
      <c r="S59" s="564">
        <v>350</v>
      </c>
      <c r="T59" s="564">
        <v>250</v>
      </c>
      <c r="U59" s="564">
        <v>65</v>
      </c>
      <c r="V59" s="564">
        <v>16</v>
      </c>
      <c r="W59" s="564"/>
      <c r="X59" s="287">
        <v>0</v>
      </c>
    </row>
    <row r="60" spans="1:27">
      <c r="A60" s="594">
        <v>55</v>
      </c>
      <c r="B60" s="561" t="s">
        <v>108</v>
      </c>
      <c r="C60" s="562" t="s">
        <v>118</v>
      </c>
      <c r="D60" s="563">
        <v>83</v>
      </c>
      <c r="E60" s="564">
        <v>785</v>
      </c>
      <c r="F60" s="564">
        <v>775</v>
      </c>
      <c r="G60" s="564">
        <v>57</v>
      </c>
      <c r="H60" s="564">
        <v>-40</v>
      </c>
      <c r="I60" s="565">
        <v>0.73</v>
      </c>
      <c r="J60" s="565">
        <v>0.65</v>
      </c>
      <c r="K60" s="564">
        <v>49</v>
      </c>
      <c r="L60" s="564">
        <v>71</v>
      </c>
      <c r="M60" s="564">
        <v>80</v>
      </c>
      <c r="N60" s="566">
        <v>3.5</v>
      </c>
      <c r="O60" s="566">
        <v>2</v>
      </c>
      <c r="P60" s="564">
        <v>80</v>
      </c>
      <c r="Q60" s="564">
        <v>0</v>
      </c>
      <c r="R60" s="564">
        <v>330</v>
      </c>
      <c r="S60" s="564">
        <v>680</v>
      </c>
      <c r="T60" s="564">
        <v>380</v>
      </c>
      <c r="U60" s="564">
        <v>44</v>
      </c>
      <c r="V60" s="564">
        <v>13</v>
      </c>
      <c r="W60" s="564">
        <v>300</v>
      </c>
      <c r="X60" s="287">
        <v>0</v>
      </c>
    </row>
    <row r="61" spans="1:27">
      <c r="A61" s="594">
        <v>56</v>
      </c>
      <c r="B61" s="561" t="s">
        <v>108</v>
      </c>
      <c r="C61" s="562" t="s">
        <v>119</v>
      </c>
      <c r="D61" s="563">
        <v>35</v>
      </c>
      <c r="E61" s="564">
        <v>933</v>
      </c>
      <c r="F61" s="564">
        <v>966</v>
      </c>
      <c r="G61" s="564">
        <v>65</v>
      </c>
      <c r="H61" s="564">
        <v>50</v>
      </c>
      <c r="I61" s="565">
        <v>0.96</v>
      </c>
      <c r="J61" s="565">
        <v>0.91</v>
      </c>
      <c r="K61" s="564">
        <v>98</v>
      </c>
      <c r="L61" s="564">
        <v>83</v>
      </c>
      <c r="M61" s="564">
        <v>167</v>
      </c>
      <c r="N61" s="566">
        <v>5.3</v>
      </c>
      <c r="O61" s="566">
        <v>3.5</v>
      </c>
      <c r="P61" s="564">
        <v>75</v>
      </c>
      <c r="Q61" s="564">
        <v>0</v>
      </c>
      <c r="R61" s="564">
        <v>230</v>
      </c>
      <c r="S61" s="564">
        <v>440</v>
      </c>
      <c r="T61" s="564">
        <v>250</v>
      </c>
      <c r="U61" s="564">
        <v>26</v>
      </c>
      <c r="V61" s="564">
        <v>0</v>
      </c>
      <c r="W61" s="564">
        <v>300</v>
      </c>
      <c r="X61" s="287">
        <v>0</v>
      </c>
    </row>
    <row r="62" spans="1:27">
      <c r="A62" s="594">
        <v>57</v>
      </c>
      <c r="B62" s="561" t="s">
        <v>108</v>
      </c>
      <c r="C62" s="562" t="s">
        <v>120</v>
      </c>
      <c r="D62" s="563">
        <v>35</v>
      </c>
      <c r="E62" s="564">
        <v>825</v>
      </c>
      <c r="F62" s="564">
        <v>940</v>
      </c>
      <c r="G62" s="564">
        <v>63</v>
      </c>
      <c r="H62" s="564">
        <v>40</v>
      </c>
      <c r="I62" s="565">
        <v>0.94</v>
      </c>
      <c r="J62" s="565">
        <v>0.9</v>
      </c>
      <c r="K62" s="564">
        <v>95</v>
      </c>
      <c r="L62" s="564">
        <v>82</v>
      </c>
      <c r="M62" s="564">
        <v>180</v>
      </c>
      <c r="N62" s="566">
        <v>5.0999999999999996</v>
      </c>
      <c r="O62" s="566">
        <v>3.3</v>
      </c>
      <c r="P62" s="564">
        <v>75</v>
      </c>
      <c r="Q62" s="564">
        <v>0</v>
      </c>
      <c r="R62" s="564">
        <v>240</v>
      </c>
      <c r="S62" s="564">
        <v>450</v>
      </c>
      <c r="T62" s="564">
        <v>255</v>
      </c>
      <c r="U62" s="564">
        <v>30</v>
      </c>
      <c r="V62" s="564">
        <v>0</v>
      </c>
      <c r="W62" s="564">
        <v>350</v>
      </c>
      <c r="X62" s="287">
        <v>0</v>
      </c>
    </row>
    <row r="63" spans="1:27">
      <c r="A63" s="594">
        <v>58</v>
      </c>
      <c r="B63" s="561" t="s">
        <v>108</v>
      </c>
      <c r="C63" s="562" t="s">
        <v>121</v>
      </c>
      <c r="D63" s="563">
        <v>35</v>
      </c>
      <c r="E63" s="564">
        <v>900</v>
      </c>
      <c r="F63" s="564">
        <v>920</v>
      </c>
      <c r="G63" s="564">
        <v>58</v>
      </c>
      <c r="H63" s="564">
        <v>30</v>
      </c>
      <c r="I63" s="565">
        <v>0.92</v>
      </c>
      <c r="J63" s="565">
        <v>0.87</v>
      </c>
      <c r="K63" s="564">
        <v>88</v>
      </c>
      <c r="L63" s="564">
        <v>79</v>
      </c>
      <c r="M63" s="564">
        <v>151</v>
      </c>
      <c r="N63" s="566">
        <v>5</v>
      </c>
      <c r="O63" s="566">
        <v>3.1</v>
      </c>
      <c r="P63" s="564">
        <v>40</v>
      </c>
      <c r="Q63" s="564">
        <v>0</v>
      </c>
      <c r="R63" s="564">
        <v>270</v>
      </c>
      <c r="S63" s="564">
        <v>500</v>
      </c>
      <c r="T63" s="564">
        <v>303</v>
      </c>
      <c r="U63" s="564">
        <v>44</v>
      </c>
      <c r="V63" s="564">
        <v>0</v>
      </c>
      <c r="W63" s="564">
        <v>350</v>
      </c>
      <c r="X63" s="287">
        <v>0</v>
      </c>
    </row>
    <row r="64" spans="1:27">
      <c r="A64" s="594">
        <v>59</v>
      </c>
      <c r="B64" s="561" t="s">
        <v>108</v>
      </c>
      <c r="C64" s="562" t="s">
        <v>122</v>
      </c>
      <c r="D64" s="563">
        <v>35</v>
      </c>
      <c r="E64" s="564">
        <v>847</v>
      </c>
      <c r="F64" s="564">
        <v>851</v>
      </c>
      <c r="G64" s="564">
        <v>55</v>
      </c>
      <c r="H64" s="564">
        <v>10</v>
      </c>
      <c r="I64" s="565">
        <v>0.87</v>
      </c>
      <c r="J64" s="565">
        <v>0.8</v>
      </c>
      <c r="K64" s="564">
        <v>75</v>
      </c>
      <c r="L64" s="564">
        <v>70</v>
      </c>
      <c r="M64" s="564">
        <v>128</v>
      </c>
      <c r="N64" s="566">
        <v>4.8</v>
      </c>
      <c r="O64" s="566">
        <v>3</v>
      </c>
      <c r="P64" s="564">
        <v>65</v>
      </c>
      <c r="Q64" s="564">
        <v>0</v>
      </c>
      <c r="R64" s="564">
        <v>310</v>
      </c>
      <c r="S64" s="564">
        <v>550</v>
      </c>
      <c r="T64" s="564">
        <v>337</v>
      </c>
      <c r="U64" s="564">
        <v>47</v>
      </c>
      <c r="V64" s="564">
        <v>0</v>
      </c>
      <c r="W64" s="564">
        <v>350</v>
      </c>
      <c r="X64" s="287">
        <v>0</v>
      </c>
    </row>
    <row r="65" spans="1:24">
      <c r="A65" s="594">
        <v>60</v>
      </c>
      <c r="B65" s="561" t="s">
        <v>108</v>
      </c>
      <c r="C65" s="562" t="s">
        <v>123</v>
      </c>
      <c r="D65" s="563">
        <v>17</v>
      </c>
      <c r="E65" s="564">
        <v>925</v>
      </c>
      <c r="F65" s="564">
        <v>1000</v>
      </c>
      <c r="G65" s="564">
        <v>80</v>
      </c>
      <c r="H65" s="564">
        <v>40</v>
      </c>
      <c r="I65" s="565">
        <v>0.99</v>
      </c>
      <c r="J65" s="565">
        <v>0.98</v>
      </c>
      <c r="K65" s="564">
        <v>110</v>
      </c>
      <c r="L65" s="564">
        <v>90</v>
      </c>
      <c r="M65" s="564">
        <v>180</v>
      </c>
      <c r="N65" s="566">
        <v>5</v>
      </c>
      <c r="O65" s="566">
        <v>3.3</v>
      </c>
      <c r="P65" s="564">
        <v>100</v>
      </c>
      <c r="Q65" s="564">
        <v>0</v>
      </c>
      <c r="R65" s="564">
        <v>220</v>
      </c>
      <c r="S65" s="564">
        <v>500</v>
      </c>
      <c r="T65" s="564">
        <v>290</v>
      </c>
      <c r="U65" s="564">
        <v>30</v>
      </c>
      <c r="V65" s="564">
        <v>0</v>
      </c>
      <c r="W65" s="564">
        <v>400</v>
      </c>
      <c r="X65" s="287">
        <v>0</v>
      </c>
    </row>
    <row r="66" spans="1:24">
      <c r="A66" s="594">
        <v>61</v>
      </c>
      <c r="B66" s="561" t="s">
        <v>108</v>
      </c>
      <c r="C66" s="562" t="s">
        <v>124</v>
      </c>
      <c r="D66" s="563">
        <v>16</v>
      </c>
      <c r="E66" s="564">
        <v>850</v>
      </c>
      <c r="F66" s="564">
        <v>925</v>
      </c>
      <c r="G66" s="564">
        <v>80</v>
      </c>
      <c r="H66" s="564">
        <v>40</v>
      </c>
      <c r="I66" s="565">
        <v>0.97</v>
      </c>
      <c r="J66" s="565">
        <v>0.92</v>
      </c>
      <c r="K66" s="564">
        <v>120</v>
      </c>
      <c r="L66" s="564">
        <v>100</v>
      </c>
      <c r="M66" s="564">
        <v>180</v>
      </c>
      <c r="N66" s="566">
        <v>5</v>
      </c>
      <c r="O66" s="566">
        <v>3.1</v>
      </c>
      <c r="P66" s="564">
        <v>100</v>
      </c>
      <c r="Q66" s="564">
        <v>0</v>
      </c>
      <c r="R66" s="564">
        <v>230</v>
      </c>
      <c r="S66" s="564">
        <v>500</v>
      </c>
      <c r="T66" s="564">
        <v>290</v>
      </c>
      <c r="U66" s="564">
        <v>30</v>
      </c>
      <c r="V66" s="564">
        <v>0</v>
      </c>
      <c r="W66" s="564">
        <v>400</v>
      </c>
      <c r="X66" s="287">
        <v>0</v>
      </c>
    </row>
    <row r="67" spans="1:24">
      <c r="A67" s="594">
        <v>62</v>
      </c>
      <c r="B67" s="561" t="s">
        <v>108</v>
      </c>
      <c r="C67" s="562" t="s">
        <v>125</v>
      </c>
      <c r="D67" s="563">
        <v>15</v>
      </c>
      <c r="E67" s="564">
        <v>1025</v>
      </c>
      <c r="F67" s="564">
        <v>1100</v>
      </c>
      <c r="G67" s="564">
        <v>95</v>
      </c>
      <c r="H67" s="564">
        <v>55</v>
      </c>
      <c r="I67" s="565">
        <v>1</v>
      </c>
      <c r="J67" s="565">
        <v>0.96</v>
      </c>
      <c r="K67" s="564">
        <v>125</v>
      </c>
      <c r="L67" s="564">
        <v>100</v>
      </c>
      <c r="M67" s="564">
        <v>200</v>
      </c>
      <c r="N67" s="566">
        <v>5.2</v>
      </c>
      <c r="O67" s="566">
        <v>3.5</v>
      </c>
      <c r="P67" s="564">
        <v>100</v>
      </c>
      <c r="Q67" s="564">
        <v>0</v>
      </c>
      <c r="R67" s="564">
        <v>190</v>
      </c>
      <c r="S67" s="564">
        <v>480</v>
      </c>
      <c r="T67" s="564">
        <v>270</v>
      </c>
      <c r="U67" s="564">
        <v>30</v>
      </c>
      <c r="V67" s="564">
        <v>0</v>
      </c>
      <c r="W67" s="564">
        <v>400</v>
      </c>
      <c r="X67" s="287">
        <v>0</v>
      </c>
    </row>
    <row r="68" spans="1:24">
      <c r="A68" s="594">
        <v>63</v>
      </c>
      <c r="B68" s="561" t="s">
        <v>108</v>
      </c>
      <c r="C68" s="562" t="s">
        <v>126</v>
      </c>
      <c r="D68" s="563">
        <v>17</v>
      </c>
      <c r="E68" s="564">
        <v>950</v>
      </c>
      <c r="F68" s="564">
        <v>1025</v>
      </c>
      <c r="G68" s="564">
        <v>90</v>
      </c>
      <c r="H68" s="564">
        <v>50</v>
      </c>
      <c r="I68" s="565">
        <v>0.97</v>
      </c>
      <c r="J68" s="565">
        <v>0.99</v>
      </c>
      <c r="K68" s="564">
        <v>120</v>
      </c>
      <c r="L68" s="564">
        <v>95</v>
      </c>
      <c r="M68" s="564">
        <v>190</v>
      </c>
      <c r="N68" s="566">
        <v>5.0999999999999996</v>
      </c>
      <c r="O68" s="566">
        <v>3.3</v>
      </c>
      <c r="P68" s="564">
        <v>100</v>
      </c>
      <c r="Q68" s="564">
        <v>0</v>
      </c>
      <c r="R68" s="564">
        <v>220</v>
      </c>
      <c r="S68" s="564">
        <v>505</v>
      </c>
      <c r="T68" s="564">
        <v>294</v>
      </c>
      <c r="U68" s="564">
        <v>30</v>
      </c>
      <c r="V68" s="564">
        <v>0</v>
      </c>
      <c r="W68" s="564">
        <v>400</v>
      </c>
      <c r="X68" s="287">
        <v>0</v>
      </c>
    </row>
    <row r="69" spans="1:24">
      <c r="A69" s="594">
        <v>64</v>
      </c>
      <c r="B69" s="561" t="s">
        <v>108</v>
      </c>
      <c r="C69" s="562" t="s">
        <v>127</v>
      </c>
      <c r="D69" s="563">
        <v>16</v>
      </c>
      <c r="E69" s="564">
        <v>1000</v>
      </c>
      <c r="F69" s="564">
        <v>1075</v>
      </c>
      <c r="G69" s="564">
        <v>95</v>
      </c>
      <c r="H69" s="564">
        <v>55</v>
      </c>
      <c r="I69" s="565">
        <v>0.99</v>
      </c>
      <c r="J69" s="565">
        <v>1</v>
      </c>
      <c r="K69" s="564">
        <v>130</v>
      </c>
      <c r="L69" s="564">
        <v>100</v>
      </c>
      <c r="M69" s="564">
        <v>200</v>
      </c>
      <c r="N69" s="566">
        <v>5.2</v>
      </c>
      <c r="O69" s="566">
        <v>3.5</v>
      </c>
      <c r="P69" s="564">
        <v>100</v>
      </c>
      <c r="Q69" s="564">
        <v>0</v>
      </c>
      <c r="R69" s="564">
        <v>200</v>
      </c>
      <c r="S69" s="564">
        <v>505</v>
      </c>
      <c r="T69" s="564">
        <v>294</v>
      </c>
      <c r="U69" s="564">
        <v>30</v>
      </c>
      <c r="V69" s="564">
        <v>0</v>
      </c>
      <c r="W69" s="564">
        <v>400</v>
      </c>
      <c r="X69" s="287">
        <v>0</v>
      </c>
    </row>
    <row r="70" spans="1:24">
      <c r="A70" s="594">
        <v>65</v>
      </c>
      <c r="B70" s="561" t="s">
        <v>108</v>
      </c>
      <c r="C70" s="562" t="s">
        <v>128</v>
      </c>
      <c r="D70" s="563">
        <v>30</v>
      </c>
      <c r="E70" s="564">
        <v>920</v>
      </c>
      <c r="F70" s="564">
        <v>948</v>
      </c>
      <c r="G70" s="564">
        <v>48</v>
      </c>
      <c r="H70" s="564">
        <v>-28</v>
      </c>
      <c r="I70" s="565">
        <v>0.91800000000000004</v>
      </c>
      <c r="J70" s="565">
        <v>0.86099999999999999</v>
      </c>
      <c r="K70" s="564">
        <v>47</v>
      </c>
      <c r="L70" s="564">
        <v>70</v>
      </c>
      <c r="M70" s="564">
        <v>77</v>
      </c>
      <c r="N70" s="566">
        <v>2</v>
      </c>
      <c r="O70" s="566">
        <v>2.5</v>
      </c>
      <c r="P70" s="564">
        <v>0</v>
      </c>
      <c r="Q70" s="564">
        <v>300</v>
      </c>
      <c r="R70" s="564">
        <v>219</v>
      </c>
      <c r="S70" s="564">
        <v>462</v>
      </c>
      <c r="T70" s="564">
        <v>253</v>
      </c>
      <c r="U70" s="564">
        <v>29</v>
      </c>
      <c r="V70" s="564">
        <v>0</v>
      </c>
      <c r="W70" s="564">
        <v>150</v>
      </c>
      <c r="X70" s="287">
        <v>0</v>
      </c>
    </row>
    <row r="71" spans="1:24">
      <c r="A71" s="594">
        <v>66</v>
      </c>
      <c r="B71" s="561" t="s">
        <v>108</v>
      </c>
      <c r="C71" s="562" t="s">
        <v>129</v>
      </c>
      <c r="D71" s="563">
        <v>55</v>
      </c>
      <c r="E71" s="564">
        <v>1115</v>
      </c>
      <c r="F71" s="564">
        <v>1224</v>
      </c>
      <c r="G71" s="564">
        <v>60</v>
      </c>
      <c r="H71" s="564">
        <v>-15</v>
      </c>
      <c r="I71" s="565">
        <v>1.1000000000000001</v>
      </c>
      <c r="J71" s="565">
        <v>1.07</v>
      </c>
      <c r="K71" s="564">
        <v>57</v>
      </c>
      <c r="L71" s="564">
        <v>92</v>
      </c>
      <c r="M71" s="564">
        <v>89</v>
      </c>
      <c r="N71" s="566">
        <v>0.4</v>
      </c>
      <c r="O71" s="566">
        <v>3.7</v>
      </c>
      <c r="P71" s="564">
        <v>0</v>
      </c>
      <c r="Q71" s="564">
        <v>534</v>
      </c>
      <c r="R71" s="564">
        <v>80</v>
      </c>
      <c r="S71" s="564">
        <v>282</v>
      </c>
      <c r="T71" s="564">
        <v>138</v>
      </c>
      <c r="U71" s="564">
        <v>13</v>
      </c>
      <c r="V71" s="564">
        <v>30</v>
      </c>
      <c r="W71" s="564"/>
      <c r="X71" s="287">
        <v>0</v>
      </c>
    </row>
    <row r="72" spans="1:24">
      <c r="A72" s="594">
        <v>67</v>
      </c>
      <c r="B72" s="561" t="s">
        <v>108</v>
      </c>
      <c r="C72" s="562" t="s">
        <v>130</v>
      </c>
      <c r="D72" s="563">
        <v>84</v>
      </c>
      <c r="E72" s="564">
        <v>514.28571428571433</v>
      </c>
      <c r="F72" s="564">
        <v>415.47619047619048</v>
      </c>
      <c r="G72" s="564">
        <v>2.3809523809523809</v>
      </c>
      <c r="H72" s="564">
        <v>-34.523809523809526</v>
      </c>
      <c r="I72" s="565">
        <v>0.42</v>
      </c>
      <c r="J72" s="565">
        <v>0.41</v>
      </c>
      <c r="K72" s="564">
        <v>22</v>
      </c>
      <c r="L72" s="564">
        <v>44</v>
      </c>
      <c r="M72" s="564">
        <v>43</v>
      </c>
      <c r="N72" s="566">
        <v>2.0238095238095237</v>
      </c>
      <c r="O72" s="566">
        <v>0.95238095238095233</v>
      </c>
      <c r="P72" s="564">
        <v>0</v>
      </c>
      <c r="Q72" s="564">
        <v>7</v>
      </c>
      <c r="R72" s="564">
        <v>420</v>
      </c>
      <c r="S72" s="564">
        <v>798</v>
      </c>
      <c r="T72" s="564">
        <v>504</v>
      </c>
      <c r="U72" s="564">
        <v>68</v>
      </c>
      <c r="V72" s="564">
        <v>15</v>
      </c>
      <c r="W72" s="564">
        <v>200</v>
      </c>
      <c r="X72" s="287">
        <v>0</v>
      </c>
    </row>
    <row r="73" spans="1:24">
      <c r="A73" s="594">
        <v>68</v>
      </c>
      <c r="B73" s="561" t="s">
        <v>108</v>
      </c>
      <c r="C73" s="562" t="s">
        <v>131</v>
      </c>
      <c r="D73" s="563">
        <v>84</v>
      </c>
      <c r="E73" s="564">
        <v>609.52380952380952</v>
      </c>
      <c r="F73" s="564">
        <v>523.80952380952385</v>
      </c>
      <c r="G73" s="564">
        <v>32.142857142857146</v>
      </c>
      <c r="H73" s="564">
        <v>-7.1428571428571432</v>
      </c>
      <c r="I73" s="565">
        <v>0.53</v>
      </c>
      <c r="J73" s="565">
        <v>0.52</v>
      </c>
      <c r="K73" s="564">
        <v>42</v>
      </c>
      <c r="L73" s="564">
        <v>60</v>
      </c>
      <c r="M73" s="564">
        <v>95</v>
      </c>
      <c r="N73" s="566">
        <v>13.69047619047619</v>
      </c>
      <c r="O73" s="566">
        <v>2.3809523809523809</v>
      </c>
      <c r="P73" s="564">
        <v>0</v>
      </c>
      <c r="Q73" s="564">
        <v>7</v>
      </c>
      <c r="R73" s="564">
        <v>425</v>
      </c>
      <c r="S73" s="564">
        <v>740</v>
      </c>
      <c r="T73" s="564">
        <v>500</v>
      </c>
      <c r="U73" s="564">
        <v>60</v>
      </c>
      <c r="V73" s="564">
        <v>15</v>
      </c>
      <c r="W73" s="564"/>
      <c r="X73" s="287">
        <v>0</v>
      </c>
    </row>
    <row r="74" spans="1:24">
      <c r="A74" s="594">
        <v>69</v>
      </c>
      <c r="B74" s="561" t="s">
        <v>108</v>
      </c>
      <c r="C74" s="562" t="s">
        <v>132</v>
      </c>
      <c r="D74" s="563">
        <v>84</v>
      </c>
      <c r="E74" s="564">
        <v>583.33333333333337</v>
      </c>
      <c r="F74" s="564">
        <v>496.42857142857144</v>
      </c>
      <c r="G74" s="564">
        <v>16.666666666666668</v>
      </c>
      <c r="H74" s="564">
        <v>-50</v>
      </c>
      <c r="I74" s="565">
        <v>0.44</v>
      </c>
      <c r="J74" s="565">
        <v>0.41</v>
      </c>
      <c r="K74" s="564">
        <v>24</v>
      </c>
      <c r="L74" s="564">
        <v>46</v>
      </c>
      <c r="M74" s="564">
        <v>41</v>
      </c>
      <c r="N74" s="566">
        <v>3.4523809523809526</v>
      </c>
      <c r="O74" s="566">
        <v>0.95238095238095233</v>
      </c>
      <c r="P74" s="564">
        <v>0</v>
      </c>
      <c r="Q74" s="564">
        <v>7</v>
      </c>
      <c r="R74" s="564">
        <v>435</v>
      </c>
      <c r="S74" s="564">
        <v>798</v>
      </c>
      <c r="T74" s="564">
        <v>504</v>
      </c>
      <c r="U74" s="564">
        <v>60</v>
      </c>
      <c r="V74" s="564">
        <v>15</v>
      </c>
      <c r="W74" s="564">
        <v>200</v>
      </c>
      <c r="X74" s="287">
        <v>0</v>
      </c>
    </row>
    <row r="75" spans="1:24">
      <c r="A75" s="594">
        <v>70</v>
      </c>
      <c r="B75" s="561" t="s">
        <v>108</v>
      </c>
      <c r="C75" s="562" t="s">
        <v>133</v>
      </c>
      <c r="D75" s="563">
        <v>14.3</v>
      </c>
      <c r="E75" s="564">
        <v>1056</v>
      </c>
      <c r="F75" s="564">
        <v>1147</v>
      </c>
      <c r="G75" s="564">
        <v>105</v>
      </c>
      <c r="H75" s="564">
        <v>-21</v>
      </c>
      <c r="I75" s="565">
        <v>0.94</v>
      </c>
      <c r="J75" s="565">
        <v>0.94</v>
      </c>
      <c r="K75" s="564">
        <v>88</v>
      </c>
      <c r="L75" s="564">
        <v>112</v>
      </c>
      <c r="M75" s="564">
        <v>134</v>
      </c>
      <c r="N75" s="566">
        <v>2.7</v>
      </c>
      <c r="O75" s="566">
        <v>2.9</v>
      </c>
      <c r="P75" s="564">
        <v>24</v>
      </c>
      <c r="Q75" s="564">
        <v>435</v>
      </c>
      <c r="R75" s="564">
        <v>60</v>
      </c>
      <c r="S75" s="564">
        <v>112</v>
      </c>
      <c r="T75" s="564">
        <v>59</v>
      </c>
      <c r="U75" s="564">
        <v>18</v>
      </c>
      <c r="V75" s="564">
        <v>12</v>
      </c>
      <c r="W75" s="564">
        <v>142</v>
      </c>
      <c r="X75" s="287">
        <v>0</v>
      </c>
    </row>
    <row r="76" spans="1:24">
      <c r="A76" s="594">
        <v>71</v>
      </c>
      <c r="B76" s="561" t="s">
        <v>108</v>
      </c>
      <c r="C76" s="562" t="s">
        <v>134</v>
      </c>
      <c r="D76" s="563">
        <v>21</v>
      </c>
      <c r="E76" s="564">
        <v>1128</v>
      </c>
      <c r="F76" s="564">
        <v>1247</v>
      </c>
      <c r="G76" s="564">
        <v>59</v>
      </c>
      <c r="H76" s="564">
        <v>-19</v>
      </c>
      <c r="I76" s="565">
        <v>1.26</v>
      </c>
      <c r="J76" s="565">
        <v>1.31</v>
      </c>
      <c r="K76" s="564">
        <v>63</v>
      </c>
      <c r="L76" s="564">
        <v>103</v>
      </c>
      <c r="M76" s="564">
        <v>80</v>
      </c>
      <c r="N76" s="566">
        <v>0.5</v>
      </c>
      <c r="O76" s="566">
        <v>1.8</v>
      </c>
      <c r="P76" s="564">
        <v>0</v>
      </c>
      <c r="Q76" s="564">
        <v>690</v>
      </c>
      <c r="R76" s="564">
        <v>30</v>
      </c>
      <c r="S76" s="564">
        <v>73</v>
      </c>
      <c r="T76" s="564">
        <v>44</v>
      </c>
      <c r="U76" s="564">
        <v>10</v>
      </c>
      <c r="V76" s="564">
        <v>2</v>
      </c>
      <c r="W76" s="564"/>
      <c r="X76" s="287">
        <v>0</v>
      </c>
    </row>
    <row r="77" spans="1:24">
      <c r="A77" s="594">
        <v>72</v>
      </c>
      <c r="B77" s="561" t="s">
        <v>108</v>
      </c>
      <c r="C77" s="562" t="s">
        <v>135</v>
      </c>
      <c r="D77" s="563">
        <v>23.5</v>
      </c>
      <c r="E77" s="564">
        <v>1050</v>
      </c>
      <c r="F77" s="564">
        <v>1140</v>
      </c>
      <c r="G77" s="564">
        <v>101</v>
      </c>
      <c r="H77" s="564">
        <v>-65</v>
      </c>
      <c r="I77" s="565">
        <v>1.03</v>
      </c>
      <c r="J77" s="565">
        <v>1.03</v>
      </c>
      <c r="K77" s="564">
        <v>52</v>
      </c>
      <c r="L77" s="564">
        <v>88</v>
      </c>
      <c r="M77" s="564">
        <v>97</v>
      </c>
      <c r="N77" s="566">
        <v>10</v>
      </c>
      <c r="O77" s="566">
        <v>1</v>
      </c>
      <c r="P77" s="564">
        <v>53</v>
      </c>
      <c r="Q77" s="564">
        <v>4</v>
      </c>
      <c r="R77" s="564">
        <v>190</v>
      </c>
      <c r="S77" s="564">
        <v>494</v>
      </c>
      <c r="T77" s="564">
        <v>247</v>
      </c>
      <c r="U77" s="564">
        <v>16</v>
      </c>
      <c r="V77" s="564">
        <v>4</v>
      </c>
      <c r="W77" s="564">
        <v>32</v>
      </c>
      <c r="X77" s="287">
        <v>0</v>
      </c>
    </row>
    <row r="78" spans="1:24">
      <c r="A78" s="594">
        <v>73</v>
      </c>
      <c r="B78" s="561" t="s">
        <v>108</v>
      </c>
      <c r="C78" s="562" t="s">
        <v>136</v>
      </c>
      <c r="D78" s="563">
        <v>13</v>
      </c>
      <c r="E78" s="564">
        <v>1040</v>
      </c>
      <c r="F78" s="564">
        <v>1130</v>
      </c>
      <c r="G78" s="564">
        <v>100</v>
      </c>
      <c r="H78" s="564">
        <v>-70</v>
      </c>
      <c r="I78" s="565">
        <v>1.03</v>
      </c>
      <c r="J78" s="565">
        <v>1.03</v>
      </c>
      <c r="K78" s="564">
        <v>52</v>
      </c>
      <c r="L78" s="564">
        <v>88</v>
      </c>
      <c r="M78" s="564">
        <v>101</v>
      </c>
      <c r="N78" s="566">
        <v>10</v>
      </c>
      <c r="O78" s="566">
        <v>1.1000000000000001</v>
      </c>
      <c r="P78" s="564">
        <v>53</v>
      </c>
      <c r="Q78" s="564">
        <v>4</v>
      </c>
      <c r="R78" s="564">
        <v>197</v>
      </c>
      <c r="S78" s="564">
        <v>494</v>
      </c>
      <c r="T78" s="564">
        <v>247</v>
      </c>
      <c r="U78" s="564">
        <v>16</v>
      </c>
      <c r="V78" s="564">
        <v>4</v>
      </c>
      <c r="W78" s="564"/>
      <c r="X78" s="287">
        <v>0</v>
      </c>
    </row>
    <row r="79" spans="1:24">
      <c r="A79" s="594">
        <v>74</v>
      </c>
      <c r="B79" s="561" t="s">
        <v>108</v>
      </c>
      <c r="C79" s="562" t="s">
        <v>137</v>
      </c>
      <c r="D79" s="563">
        <v>77</v>
      </c>
      <c r="E79" s="564">
        <v>930</v>
      </c>
      <c r="F79" s="564">
        <v>930</v>
      </c>
      <c r="G79" s="564">
        <v>55</v>
      </c>
      <c r="H79" s="564">
        <v>0</v>
      </c>
      <c r="I79" s="565">
        <v>0.9</v>
      </c>
      <c r="J79" s="565">
        <v>0.9</v>
      </c>
      <c r="K79" s="564">
        <v>68</v>
      </c>
      <c r="L79" s="564">
        <v>68</v>
      </c>
      <c r="M79" s="564">
        <v>111</v>
      </c>
      <c r="N79" s="566">
        <v>3.4</v>
      </c>
      <c r="O79" s="566">
        <v>0.3</v>
      </c>
      <c r="P79" s="564">
        <v>640</v>
      </c>
      <c r="Q79" s="564">
        <v>0</v>
      </c>
      <c r="R79" s="564">
        <v>0</v>
      </c>
      <c r="S79" s="564">
        <v>0</v>
      </c>
      <c r="T79" s="564">
        <v>0</v>
      </c>
      <c r="U79" s="564">
        <v>0</v>
      </c>
      <c r="V79" s="564">
        <v>0.2</v>
      </c>
      <c r="W79" s="564"/>
      <c r="X79" s="287">
        <v>0</v>
      </c>
    </row>
    <row r="80" spans="1:24">
      <c r="A80" s="594">
        <v>75</v>
      </c>
      <c r="B80" s="561" t="s">
        <v>138</v>
      </c>
      <c r="C80" s="562" t="s">
        <v>139</v>
      </c>
      <c r="D80" s="563">
        <v>99</v>
      </c>
      <c r="E80" s="564">
        <v>0</v>
      </c>
      <c r="F80" s="564">
        <v>0</v>
      </c>
      <c r="G80" s="564">
        <v>0</v>
      </c>
      <c r="H80" s="564">
        <v>0</v>
      </c>
      <c r="I80" s="565">
        <v>0</v>
      </c>
      <c r="J80" s="565">
        <v>0</v>
      </c>
      <c r="K80" s="564">
        <v>0</v>
      </c>
      <c r="L80" s="564">
        <v>0</v>
      </c>
      <c r="M80" s="564">
        <v>0</v>
      </c>
      <c r="N80" s="566">
        <v>0.5</v>
      </c>
      <c r="O80" s="566">
        <v>0</v>
      </c>
      <c r="P80" s="564">
        <v>0</v>
      </c>
      <c r="Q80" s="564">
        <v>0</v>
      </c>
      <c r="R80" s="564">
        <v>0</v>
      </c>
      <c r="S80" s="564">
        <v>0</v>
      </c>
      <c r="T80" s="564">
        <v>0</v>
      </c>
      <c r="U80" s="564">
        <v>0</v>
      </c>
      <c r="V80" s="564">
        <v>0</v>
      </c>
      <c r="W80" s="564">
        <v>11822</v>
      </c>
      <c r="X80" s="287">
        <v>0</v>
      </c>
    </row>
    <row r="81" spans="1:27">
      <c r="A81" s="594">
        <v>76</v>
      </c>
      <c r="B81" s="561" t="s">
        <v>138</v>
      </c>
      <c r="C81" s="562" t="s">
        <v>140</v>
      </c>
      <c r="D81" s="563">
        <v>99.9</v>
      </c>
      <c r="E81" s="564">
        <v>0</v>
      </c>
      <c r="F81" s="564">
        <v>0</v>
      </c>
      <c r="G81" s="564">
        <v>0</v>
      </c>
      <c r="H81" s="564">
        <v>0</v>
      </c>
      <c r="I81" s="565">
        <v>0</v>
      </c>
      <c r="J81" s="565">
        <v>0</v>
      </c>
      <c r="K81" s="564">
        <v>0</v>
      </c>
      <c r="L81" s="564">
        <v>0</v>
      </c>
      <c r="M81" s="564">
        <v>0</v>
      </c>
      <c r="N81" s="566">
        <v>387</v>
      </c>
      <c r="O81" s="566">
        <v>0.3</v>
      </c>
      <c r="P81" s="564">
        <v>0</v>
      </c>
      <c r="Q81" s="564">
        <v>0</v>
      </c>
      <c r="R81" s="564">
        <v>0</v>
      </c>
      <c r="S81" s="564">
        <v>0</v>
      </c>
      <c r="T81" s="564">
        <v>0</v>
      </c>
      <c r="U81" s="564">
        <v>0</v>
      </c>
      <c r="V81" s="564">
        <v>0</v>
      </c>
      <c r="W81" s="564">
        <v>-21</v>
      </c>
      <c r="X81" s="287">
        <v>0</v>
      </c>
    </row>
    <row r="82" spans="1:27">
      <c r="A82" s="594">
        <v>77</v>
      </c>
      <c r="B82" s="561" t="s">
        <v>138</v>
      </c>
      <c r="C82" s="562" t="s">
        <v>141</v>
      </c>
      <c r="D82" s="563">
        <v>99.6</v>
      </c>
      <c r="E82" s="564">
        <v>0</v>
      </c>
      <c r="F82" s="564">
        <v>0</v>
      </c>
      <c r="G82" s="564">
        <v>0</v>
      </c>
      <c r="H82" s="564">
        <v>0</v>
      </c>
      <c r="I82" s="565">
        <v>0</v>
      </c>
      <c r="J82" s="565">
        <v>0</v>
      </c>
      <c r="K82" s="564">
        <v>0</v>
      </c>
      <c r="L82" s="564">
        <v>0</v>
      </c>
      <c r="M82" s="564">
        <v>0</v>
      </c>
      <c r="N82" s="566">
        <v>0</v>
      </c>
      <c r="O82" s="566">
        <v>0</v>
      </c>
      <c r="P82" s="564">
        <v>0</v>
      </c>
      <c r="Q82" s="564">
        <v>0</v>
      </c>
      <c r="R82" s="564">
        <v>0</v>
      </c>
      <c r="S82" s="564">
        <v>0</v>
      </c>
      <c r="T82" s="564">
        <v>0</v>
      </c>
      <c r="U82" s="564">
        <v>0</v>
      </c>
      <c r="V82" s="564">
        <v>0</v>
      </c>
      <c r="W82" s="564">
        <v>17</v>
      </c>
      <c r="X82" s="287">
        <v>0</v>
      </c>
    </row>
    <row r="83" spans="1:27">
      <c r="A83" s="594">
        <v>78</v>
      </c>
      <c r="B83" s="561" t="s">
        <v>138</v>
      </c>
      <c r="C83" s="562" t="s">
        <v>142</v>
      </c>
      <c r="D83" s="563">
        <v>99.9</v>
      </c>
      <c r="E83" s="564">
        <v>0</v>
      </c>
      <c r="F83" s="564">
        <v>0</v>
      </c>
      <c r="G83" s="564">
        <v>0</v>
      </c>
      <c r="H83" s="564">
        <v>0</v>
      </c>
      <c r="I83" s="565">
        <v>0</v>
      </c>
      <c r="J83" s="565">
        <v>0</v>
      </c>
      <c r="K83" s="564">
        <v>0</v>
      </c>
      <c r="L83" s="564">
        <v>0</v>
      </c>
      <c r="M83" s="564">
        <v>0</v>
      </c>
      <c r="N83" s="566">
        <v>0</v>
      </c>
      <c r="O83" s="566">
        <v>0</v>
      </c>
      <c r="P83" s="564">
        <v>0</v>
      </c>
      <c r="Q83" s="564">
        <v>0</v>
      </c>
      <c r="R83" s="564">
        <v>0</v>
      </c>
      <c r="S83" s="564">
        <v>0</v>
      </c>
      <c r="T83" s="564">
        <v>0</v>
      </c>
      <c r="U83" s="564">
        <v>0</v>
      </c>
      <c r="V83" s="564">
        <v>0</v>
      </c>
      <c r="W83" s="564">
        <v>0</v>
      </c>
      <c r="X83" s="287">
        <v>0</v>
      </c>
    </row>
    <row r="84" spans="1:27">
      <c r="A84" s="594">
        <v>79</v>
      </c>
      <c r="B84" s="561" t="s">
        <v>138</v>
      </c>
      <c r="C84" s="562" t="s">
        <v>143</v>
      </c>
      <c r="D84" s="563">
        <v>98.5</v>
      </c>
      <c r="E84" s="564">
        <v>0</v>
      </c>
      <c r="F84" s="564">
        <v>0</v>
      </c>
      <c r="G84" s="564">
        <v>0</v>
      </c>
      <c r="H84" s="564">
        <v>0</v>
      </c>
      <c r="I84" s="565">
        <v>0</v>
      </c>
      <c r="J84" s="565">
        <v>0</v>
      </c>
      <c r="K84" s="564">
        <v>0</v>
      </c>
      <c r="L84" s="564">
        <v>0</v>
      </c>
      <c r="M84" s="564">
        <v>0</v>
      </c>
      <c r="N84" s="566">
        <v>167</v>
      </c>
      <c r="O84" s="566">
        <v>224</v>
      </c>
      <c r="P84" s="564">
        <v>0</v>
      </c>
      <c r="Q84" s="564">
        <v>0</v>
      </c>
      <c r="R84" s="564">
        <v>0</v>
      </c>
      <c r="S84" s="564">
        <v>0</v>
      </c>
      <c r="T84" s="564">
        <v>0</v>
      </c>
      <c r="U84" s="564">
        <v>0</v>
      </c>
      <c r="V84" s="564">
        <v>0</v>
      </c>
      <c r="W84" s="564">
        <v>86</v>
      </c>
      <c r="X84" s="287">
        <v>0</v>
      </c>
    </row>
    <row r="85" spans="1:27">
      <c r="A85" s="594">
        <v>80</v>
      </c>
      <c r="B85" s="561" t="s">
        <v>138</v>
      </c>
      <c r="C85" s="562" t="s">
        <v>144</v>
      </c>
      <c r="D85" s="563">
        <v>99.4</v>
      </c>
      <c r="E85" s="564">
        <v>239</v>
      </c>
      <c r="F85" s="564">
        <v>189</v>
      </c>
      <c r="G85" s="564">
        <v>0</v>
      </c>
      <c r="H85" s="564">
        <v>2800</v>
      </c>
      <c r="I85" s="565">
        <v>0.26</v>
      </c>
      <c r="J85" s="565">
        <v>0.2</v>
      </c>
      <c r="K85" s="564">
        <v>1646</v>
      </c>
      <c r="L85" s="564">
        <v>88</v>
      </c>
      <c r="M85" s="564">
        <v>2860</v>
      </c>
      <c r="N85" s="566">
        <v>0</v>
      </c>
      <c r="O85" s="566">
        <v>0</v>
      </c>
      <c r="P85" s="564">
        <v>0</v>
      </c>
      <c r="Q85" s="564">
        <v>0</v>
      </c>
      <c r="R85" s="564">
        <v>0</v>
      </c>
      <c r="S85" s="564">
        <v>0</v>
      </c>
      <c r="T85" s="564">
        <v>0</v>
      </c>
      <c r="U85" s="564">
        <v>0</v>
      </c>
      <c r="V85" s="564">
        <v>0</v>
      </c>
      <c r="W85" s="564">
        <v>0</v>
      </c>
      <c r="X85" s="287">
        <v>0</v>
      </c>
    </row>
    <row r="86" spans="1:27">
      <c r="A86" s="594">
        <v>81</v>
      </c>
      <c r="B86" s="561" t="s">
        <v>138</v>
      </c>
      <c r="C86" s="562" t="s">
        <v>145</v>
      </c>
      <c r="D86" s="563">
        <v>99</v>
      </c>
      <c r="E86" s="564">
        <v>0</v>
      </c>
      <c r="F86" s="564">
        <v>0</v>
      </c>
      <c r="G86" s="564">
        <v>0</v>
      </c>
      <c r="H86" s="564">
        <v>0</v>
      </c>
      <c r="I86" s="565">
        <v>0</v>
      </c>
      <c r="J86" s="565">
        <v>0</v>
      </c>
      <c r="K86" s="564">
        <v>0</v>
      </c>
      <c r="L86" s="564">
        <v>0</v>
      </c>
      <c r="M86" s="564">
        <v>0</v>
      </c>
      <c r="N86" s="566">
        <v>240</v>
      </c>
      <c r="O86" s="566">
        <v>20</v>
      </c>
      <c r="P86" s="564">
        <v>0</v>
      </c>
      <c r="Q86" s="564">
        <v>0</v>
      </c>
      <c r="R86" s="564">
        <v>0</v>
      </c>
      <c r="S86" s="564">
        <v>0</v>
      </c>
      <c r="T86" s="564">
        <v>0</v>
      </c>
      <c r="U86" s="564">
        <v>0</v>
      </c>
      <c r="V86" s="564">
        <v>0</v>
      </c>
      <c r="W86" s="564"/>
      <c r="X86" s="287">
        <v>0</v>
      </c>
    </row>
    <row r="87" spans="1:27" s="595" customFormat="1" ht="16.2">
      <c r="A87" s="594">
        <v>82</v>
      </c>
      <c r="B87" s="561" t="s">
        <v>138</v>
      </c>
      <c r="C87" s="562" t="s">
        <v>146</v>
      </c>
      <c r="D87" s="563">
        <v>99</v>
      </c>
      <c r="E87" s="564">
        <v>0</v>
      </c>
      <c r="F87" s="564">
        <v>0</v>
      </c>
      <c r="G87" s="564">
        <v>0</v>
      </c>
      <c r="H87" s="564">
        <v>0</v>
      </c>
      <c r="I87" s="565">
        <v>0</v>
      </c>
      <c r="J87" s="565">
        <v>0</v>
      </c>
      <c r="K87" s="564">
        <v>0</v>
      </c>
      <c r="L87" s="564">
        <v>0</v>
      </c>
      <c r="M87" s="564">
        <v>0</v>
      </c>
      <c r="N87" s="566">
        <v>250</v>
      </c>
      <c r="O87" s="566">
        <v>0</v>
      </c>
      <c r="P87" s="564">
        <v>0</v>
      </c>
      <c r="Q87" s="564">
        <v>0</v>
      </c>
      <c r="R87" s="564">
        <v>0</v>
      </c>
      <c r="S87" s="564">
        <v>0</v>
      </c>
      <c r="T87" s="564">
        <v>0</v>
      </c>
      <c r="U87" s="564">
        <v>0</v>
      </c>
      <c r="V87" s="564">
        <v>0</v>
      </c>
      <c r="W87" s="564"/>
      <c r="X87" s="287">
        <v>0</v>
      </c>
      <c r="Y87" s="287"/>
      <c r="Z87" s="287"/>
      <c r="AA87" s="287"/>
    </row>
    <row r="88" spans="1:27" s="596" customFormat="1" ht="16.2">
      <c r="A88" s="594">
        <v>83</v>
      </c>
      <c r="B88" s="561" t="s">
        <v>138</v>
      </c>
      <c r="C88" s="562" t="s">
        <v>147</v>
      </c>
      <c r="D88" s="563">
        <v>99</v>
      </c>
      <c r="E88" s="564">
        <v>0</v>
      </c>
      <c r="F88" s="564">
        <v>0</v>
      </c>
      <c r="G88" s="564">
        <v>0</v>
      </c>
      <c r="H88" s="564">
        <v>0</v>
      </c>
      <c r="I88" s="565">
        <v>0</v>
      </c>
      <c r="J88" s="565">
        <v>0</v>
      </c>
      <c r="K88" s="564">
        <v>0</v>
      </c>
      <c r="L88" s="564">
        <v>0</v>
      </c>
      <c r="M88" s="564">
        <v>0</v>
      </c>
      <c r="N88" s="566">
        <v>150</v>
      </c>
      <c r="O88" s="566">
        <v>50</v>
      </c>
      <c r="P88" s="564">
        <v>0</v>
      </c>
      <c r="Q88" s="564">
        <v>0</v>
      </c>
      <c r="R88" s="564">
        <v>0</v>
      </c>
      <c r="S88" s="564">
        <v>0</v>
      </c>
      <c r="T88" s="564">
        <v>0</v>
      </c>
      <c r="U88" s="564">
        <v>0</v>
      </c>
      <c r="V88" s="564">
        <v>0</v>
      </c>
      <c r="W88" s="564"/>
      <c r="X88" s="287">
        <v>0</v>
      </c>
      <c r="Y88" s="287"/>
      <c r="Z88" s="287"/>
      <c r="AA88" s="287"/>
    </row>
    <row r="89" spans="1:27">
      <c r="A89" s="594">
        <v>84</v>
      </c>
      <c r="B89" s="561" t="s">
        <v>138</v>
      </c>
      <c r="C89" s="562" t="s">
        <v>148</v>
      </c>
      <c r="D89" s="563">
        <v>99</v>
      </c>
      <c r="E89" s="564">
        <v>0</v>
      </c>
      <c r="F89" s="564">
        <v>0</v>
      </c>
      <c r="G89" s="564">
        <v>0</v>
      </c>
      <c r="H89" s="564">
        <v>0</v>
      </c>
      <c r="I89" s="565">
        <v>0</v>
      </c>
      <c r="J89" s="565">
        <v>0</v>
      </c>
      <c r="K89" s="564">
        <v>0</v>
      </c>
      <c r="L89" s="564">
        <v>0</v>
      </c>
      <c r="M89" s="564">
        <v>0</v>
      </c>
      <c r="N89" s="566">
        <v>200</v>
      </c>
      <c r="O89" s="566">
        <v>50</v>
      </c>
      <c r="P89" s="564">
        <v>0</v>
      </c>
      <c r="Q89" s="564">
        <v>0</v>
      </c>
      <c r="R89" s="564">
        <v>0</v>
      </c>
      <c r="S89" s="564">
        <v>0</v>
      </c>
      <c r="T89" s="564">
        <v>0</v>
      </c>
      <c r="U89" s="564">
        <v>0</v>
      </c>
      <c r="V89" s="564">
        <v>0</v>
      </c>
      <c r="W89" s="564"/>
      <c r="X89" s="287">
        <v>0</v>
      </c>
    </row>
    <row r="90" spans="1:27">
      <c r="A90" s="594">
        <v>85</v>
      </c>
      <c r="B90" s="561" t="s">
        <v>138</v>
      </c>
      <c r="C90" s="562" t="s">
        <v>149</v>
      </c>
      <c r="D90" s="563">
        <v>88</v>
      </c>
      <c r="E90" s="564">
        <v>0</v>
      </c>
      <c r="F90" s="564">
        <v>0</v>
      </c>
      <c r="G90" s="564">
        <v>0</v>
      </c>
      <c r="H90" s="564">
        <v>0</v>
      </c>
      <c r="I90" s="565">
        <v>0</v>
      </c>
      <c r="J90" s="565">
        <v>0</v>
      </c>
      <c r="K90" s="564">
        <v>0</v>
      </c>
      <c r="L90" s="564">
        <v>0</v>
      </c>
      <c r="M90" s="564">
        <v>0</v>
      </c>
      <c r="N90" s="566">
        <v>0</v>
      </c>
      <c r="O90" s="566">
        <v>0</v>
      </c>
      <c r="P90" s="564">
        <v>0</v>
      </c>
      <c r="Q90" s="564">
        <v>0</v>
      </c>
      <c r="R90" s="564">
        <v>0</v>
      </c>
      <c r="S90" s="564">
        <v>0</v>
      </c>
      <c r="T90" s="564">
        <v>0</v>
      </c>
      <c r="U90" s="564">
        <v>0</v>
      </c>
      <c r="V90" s="564">
        <v>0</v>
      </c>
      <c r="W90" s="564">
        <v>-9800</v>
      </c>
      <c r="X90" s="287">
        <v>0</v>
      </c>
    </row>
    <row r="91" spans="1:27">
      <c r="A91" s="594">
        <v>86</v>
      </c>
      <c r="B91" s="561" t="s">
        <v>138</v>
      </c>
      <c r="C91" s="562" t="s">
        <v>150</v>
      </c>
      <c r="D91" s="563">
        <v>88</v>
      </c>
      <c r="E91" s="564">
        <v>0</v>
      </c>
      <c r="F91" s="564">
        <v>0</v>
      </c>
      <c r="G91" s="564">
        <v>0</v>
      </c>
      <c r="H91" s="564">
        <v>0</v>
      </c>
      <c r="I91" s="565">
        <v>0</v>
      </c>
      <c r="J91" s="565">
        <v>0</v>
      </c>
      <c r="K91" s="564">
        <v>0</v>
      </c>
      <c r="L91" s="564">
        <v>0</v>
      </c>
      <c r="M91" s="564">
        <v>0</v>
      </c>
      <c r="N91" s="564">
        <v>0</v>
      </c>
      <c r="O91" s="564">
        <v>0</v>
      </c>
      <c r="P91" s="564">
        <v>0</v>
      </c>
      <c r="Q91" s="564">
        <v>0</v>
      </c>
      <c r="R91" s="564">
        <v>0</v>
      </c>
      <c r="S91" s="564">
        <v>0</v>
      </c>
      <c r="T91" s="564">
        <v>0</v>
      </c>
      <c r="U91" s="564">
        <v>0</v>
      </c>
      <c r="V91" s="564">
        <v>0</v>
      </c>
      <c r="W91" s="564">
        <v>-16250</v>
      </c>
      <c r="X91" s="287">
        <v>0</v>
      </c>
    </row>
    <row r="92" spans="1:27">
      <c r="A92" s="594">
        <v>87</v>
      </c>
      <c r="B92" s="561"/>
      <c r="C92" s="562" t="s">
        <v>151</v>
      </c>
      <c r="D92" s="563">
        <v>2E-3</v>
      </c>
      <c r="E92" s="564">
        <v>0</v>
      </c>
      <c r="F92" s="564">
        <v>0</v>
      </c>
      <c r="G92" s="564">
        <v>0</v>
      </c>
      <c r="H92" s="564">
        <v>0</v>
      </c>
      <c r="I92" s="565">
        <v>0</v>
      </c>
      <c r="J92" s="565">
        <v>0</v>
      </c>
      <c r="K92" s="564">
        <v>0</v>
      </c>
      <c r="L92" s="564">
        <v>0</v>
      </c>
      <c r="M92" s="564">
        <v>0</v>
      </c>
      <c r="N92" s="566">
        <v>0</v>
      </c>
      <c r="O92" s="566">
        <v>0</v>
      </c>
      <c r="P92" s="564">
        <v>0</v>
      </c>
      <c r="Q92" s="564">
        <v>0</v>
      </c>
      <c r="R92" s="564">
        <v>0</v>
      </c>
      <c r="S92" s="564">
        <v>0</v>
      </c>
      <c r="T92" s="564">
        <v>0</v>
      </c>
      <c r="U92" s="564">
        <v>0</v>
      </c>
      <c r="V92" s="564">
        <v>0</v>
      </c>
      <c r="W92" s="564"/>
      <c r="X92" s="287">
        <v>0</v>
      </c>
    </row>
    <row r="93" spans="1:27">
      <c r="A93" s="594">
        <v>88</v>
      </c>
      <c r="B93" s="567" t="s">
        <v>62</v>
      </c>
      <c r="C93" s="568" t="s">
        <v>152</v>
      </c>
      <c r="D93" s="569">
        <v>79.3</v>
      </c>
      <c r="E93" s="570">
        <v>819</v>
      </c>
      <c r="F93" s="570">
        <v>856</v>
      </c>
      <c r="G93" s="570">
        <v>85</v>
      </c>
      <c r="H93" s="570">
        <v>60</v>
      </c>
      <c r="I93" s="571">
        <v>0.8</v>
      </c>
      <c r="J93" s="571">
        <v>0.81</v>
      </c>
      <c r="K93" s="570">
        <v>122</v>
      </c>
      <c r="L93" s="570">
        <v>88</v>
      </c>
      <c r="M93" s="570">
        <v>186</v>
      </c>
      <c r="N93" s="572">
        <v>0.9</v>
      </c>
      <c r="O93" s="572">
        <v>3.7</v>
      </c>
      <c r="P93" s="570">
        <v>29</v>
      </c>
      <c r="Q93" s="570">
        <v>339</v>
      </c>
      <c r="R93" s="570">
        <v>65</v>
      </c>
      <c r="S93" s="570">
        <v>123</v>
      </c>
      <c r="T93" s="570">
        <v>58</v>
      </c>
      <c r="U93" s="570">
        <v>8</v>
      </c>
      <c r="V93" s="570">
        <v>13</v>
      </c>
      <c r="W93" s="570"/>
      <c r="X93" s="598">
        <v>0</v>
      </c>
    </row>
    <row r="94" spans="1:27">
      <c r="A94" s="594">
        <v>89</v>
      </c>
      <c r="B94" s="567" t="s">
        <v>62</v>
      </c>
      <c r="C94" s="568" t="s">
        <v>153</v>
      </c>
      <c r="D94" s="569">
        <v>91</v>
      </c>
      <c r="E94" s="570">
        <v>1060</v>
      </c>
      <c r="F94" s="570">
        <v>1127</v>
      </c>
      <c r="G94" s="570">
        <v>235</v>
      </c>
      <c r="H94" s="570">
        <v>236</v>
      </c>
      <c r="I94" s="571">
        <v>1.06</v>
      </c>
      <c r="J94" s="571">
        <v>1.02</v>
      </c>
      <c r="K94" s="570">
        <v>350</v>
      </c>
      <c r="L94" s="570">
        <v>240</v>
      </c>
      <c r="M94" s="570">
        <v>520</v>
      </c>
      <c r="N94" s="572">
        <v>2</v>
      </c>
      <c r="O94" s="572">
        <v>6.2</v>
      </c>
      <c r="P94" s="570">
        <v>70</v>
      </c>
      <c r="Q94" s="570">
        <v>236</v>
      </c>
      <c r="R94" s="570">
        <v>100</v>
      </c>
      <c r="S94" s="570">
        <v>172</v>
      </c>
      <c r="T94" s="570">
        <v>103</v>
      </c>
      <c r="U94" s="570">
        <v>33</v>
      </c>
      <c r="V94" s="570">
        <v>60</v>
      </c>
      <c r="W94" s="570"/>
      <c r="X94" s="598">
        <v>0</v>
      </c>
    </row>
    <row r="95" spans="1:27">
      <c r="A95" s="594">
        <v>90</v>
      </c>
      <c r="B95" s="567" t="s">
        <v>62</v>
      </c>
      <c r="C95" s="568" t="s">
        <v>444</v>
      </c>
      <c r="D95" s="569">
        <v>88</v>
      </c>
      <c r="E95" s="570">
        <v>930</v>
      </c>
      <c r="F95" s="570">
        <v>970</v>
      </c>
      <c r="G95" s="570">
        <v>80</v>
      </c>
      <c r="H95" s="570">
        <v>25</v>
      </c>
      <c r="I95" s="571">
        <v>0.91</v>
      </c>
      <c r="J95" s="571">
        <v>0.89900000000000002</v>
      </c>
      <c r="K95" s="570">
        <v>108</v>
      </c>
      <c r="L95" s="570">
        <v>92</v>
      </c>
      <c r="M95" s="570">
        <v>150</v>
      </c>
      <c r="N95" s="572">
        <v>8</v>
      </c>
      <c r="O95" s="572">
        <v>5</v>
      </c>
      <c r="P95" s="570">
        <v>50</v>
      </c>
      <c r="Q95" s="570">
        <v>250</v>
      </c>
      <c r="R95" s="570">
        <v>110</v>
      </c>
      <c r="S95" s="570">
        <v>250</v>
      </c>
      <c r="T95" s="570">
        <v>130</v>
      </c>
      <c r="U95" s="570">
        <v>35</v>
      </c>
      <c r="V95" s="570">
        <v>40</v>
      </c>
      <c r="W95" s="570"/>
      <c r="X95" s="598">
        <v>0</v>
      </c>
    </row>
    <row r="96" spans="1:27">
      <c r="A96" s="594">
        <v>91</v>
      </c>
      <c r="B96" s="567" t="s">
        <v>62</v>
      </c>
      <c r="C96" s="568" t="s">
        <v>445</v>
      </c>
      <c r="D96" s="569">
        <v>88</v>
      </c>
      <c r="E96" s="570">
        <v>930</v>
      </c>
      <c r="F96" s="570">
        <v>1000</v>
      </c>
      <c r="G96" s="570">
        <v>85</v>
      </c>
      <c r="H96" s="570">
        <v>35</v>
      </c>
      <c r="I96" s="571">
        <v>0.95</v>
      </c>
      <c r="J96" s="571">
        <v>0.91</v>
      </c>
      <c r="K96" s="570">
        <v>118</v>
      </c>
      <c r="L96" s="570">
        <v>100</v>
      </c>
      <c r="M96" s="570">
        <v>170</v>
      </c>
      <c r="N96" s="572">
        <v>8</v>
      </c>
      <c r="O96" s="572">
        <v>5</v>
      </c>
      <c r="P96" s="570">
        <v>50</v>
      </c>
      <c r="Q96" s="570">
        <v>250</v>
      </c>
      <c r="R96" s="570">
        <v>50</v>
      </c>
      <c r="S96" s="570">
        <v>250</v>
      </c>
      <c r="T96" s="570">
        <v>130</v>
      </c>
      <c r="U96" s="570">
        <v>40</v>
      </c>
      <c r="V96" s="570">
        <v>45</v>
      </c>
      <c r="W96" s="570"/>
      <c r="X96" s="598">
        <v>0</v>
      </c>
    </row>
    <row r="97" spans="1:24">
      <c r="A97" s="594">
        <v>92</v>
      </c>
      <c r="B97" s="567" t="s">
        <v>62</v>
      </c>
      <c r="C97" s="568" t="s">
        <v>446</v>
      </c>
      <c r="D97" s="569">
        <v>88</v>
      </c>
      <c r="E97" s="570">
        <v>930</v>
      </c>
      <c r="F97" s="570">
        <v>1000</v>
      </c>
      <c r="G97" s="570">
        <v>105</v>
      </c>
      <c r="H97" s="570">
        <v>55</v>
      </c>
      <c r="I97" s="571">
        <v>0.95</v>
      </c>
      <c r="J97" s="571">
        <v>0.92</v>
      </c>
      <c r="K97" s="570">
        <v>141</v>
      </c>
      <c r="L97" s="570">
        <v>121</v>
      </c>
      <c r="M97" s="570">
        <v>210</v>
      </c>
      <c r="N97" s="572">
        <v>8</v>
      </c>
      <c r="O97" s="572">
        <v>5</v>
      </c>
      <c r="P97" s="570">
        <v>50</v>
      </c>
      <c r="Q97" s="570">
        <v>200</v>
      </c>
      <c r="R97" s="570">
        <v>50</v>
      </c>
      <c r="S97" s="570">
        <v>250</v>
      </c>
      <c r="T97" s="570">
        <v>130</v>
      </c>
      <c r="U97" s="570">
        <v>40</v>
      </c>
      <c r="V97" s="570">
        <v>45</v>
      </c>
      <c r="W97" s="570"/>
      <c r="X97" s="598">
        <v>0</v>
      </c>
    </row>
    <row r="98" spans="1:24">
      <c r="A98" s="594">
        <v>93</v>
      </c>
      <c r="B98" s="567" t="s">
        <v>62</v>
      </c>
      <c r="C98" s="568" t="s">
        <v>448</v>
      </c>
      <c r="D98" s="569">
        <v>87.77</v>
      </c>
      <c r="E98" s="570">
        <v>953.30000000000007</v>
      </c>
      <c r="F98" s="570">
        <v>1017.13</v>
      </c>
      <c r="G98" s="570">
        <v>167.29999999999998</v>
      </c>
      <c r="H98" s="570">
        <v>133.59</v>
      </c>
      <c r="I98" s="571">
        <v>1.0076000000000003</v>
      </c>
      <c r="J98" s="571">
        <v>1.0001</v>
      </c>
      <c r="K98" s="570">
        <v>249.15</v>
      </c>
      <c r="L98" s="570">
        <v>176.33</v>
      </c>
      <c r="M98" s="570">
        <v>349.17000000000007</v>
      </c>
      <c r="N98" s="572">
        <v>3.0210000000000004</v>
      </c>
      <c r="O98" s="572">
        <v>7.0050000000000008</v>
      </c>
      <c r="P98" s="570">
        <v>82.200000000000017</v>
      </c>
      <c r="Q98" s="570">
        <v>109.24</v>
      </c>
      <c r="R98" s="570">
        <v>72.889999999999986</v>
      </c>
      <c r="S98" s="570">
        <v>199.41000000000003</v>
      </c>
      <c r="T98" s="570">
        <v>93.57</v>
      </c>
      <c r="U98" s="570"/>
      <c r="V98" s="570">
        <v>26.28</v>
      </c>
      <c r="W98" s="570"/>
      <c r="X98" s="598">
        <v>0</v>
      </c>
    </row>
    <row r="99" spans="1:24">
      <c r="A99" s="594">
        <v>94</v>
      </c>
      <c r="B99" s="567" t="s">
        <v>62</v>
      </c>
      <c r="C99" s="568" t="s">
        <v>447</v>
      </c>
      <c r="D99" s="569">
        <v>86.8</v>
      </c>
      <c r="E99" s="570">
        <v>926.74199999999985</v>
      </c>
      <c r="F99" s="570">
        <v>1001.4619999999999</v>
      </c>
      <c r="G99" s="570">
        <v>100.11699999999998</v>
      </c>
      <c r="H99" s="570">
        <v>37.160000000000004</v>
      </c>
      <c r="I99" s="571">
        <v>0.95338000000000012</v>
      </c>
      <c r="J99" s="571">
        <v>0.95369999999999999</v>
      </c>
      <c r="K99" s="570">
        <v>126.21720000000001</v>
      </c>
      <c r="L99" s="570">
        <v>107.6272</v>
      </c>
      <c r="M99" s="570">
        <v>181.83940000000001</v>
      </c>
      <c r="N99" s="572">
        <v>11.073360000000001</v>
      </c>
      <c r="O99" s="572">
        <v>4.575120000000001</v>
      </c>
      <c r="P99" s="570">
        <v>55.886000000000003</v>
      </c>
      <c r="Q99" s="570">
        <v>348.54</v>
      </c>
      <c r="R99" s="570">
        <v>53.779999999999994</v>
      </c>
      <c r="S99" s="570">
        <v>172.57</v>
      </c>
      <c r="T99" s="570">
        <v>65.56</v>
      </c>
      <c r="U99" s="570"/>
      <c r="V99" s="570">
        <v>21.833080000000006</v>
      </c>
      <c r="W99" s="570"/>
      <c r="X99" s="598">
        <v>0</v>
      </c>
    </row>
    <row r="100" spans="1:24">
      <c r="A100" s="594">
        <v>95</v>
      </c>
      <c r="B100" s="567" t="s">
        <v>62</v>
      </c>
      <c r="C100" s="568" t="s">
        <v>449</v>
      </c>
      <c r="D100" s="569">
        <v>87.676000000000016</v>
      </c>
      <c r="E100" s="570">
        <v>956.33799999999997</v>
      </c>
      <c r="F100" s="570">
        <v>1034.3579999999999</v>
      </c>
      <c r="G100" s="570">
        <v>115.43050000000001</v>
      </c>
      <c r="H100" s="570">
        <v>-9.2349999999999977</v>
      </c>
      <c r="I100" s="571">
        <v>0.97869000000000006</v>
      </c>
      <c r="J100" s="571">
        <v>0.98583999999999994</v>
      </c>
      <c r="K100" s="570">
        <v>115.2358</v>
      </c>
      <c r="L100" s="570">
        <v>121.2958</v>
      </c>
      <c r="M100" s="570">
        <v>153.60409999999996</v>
      </c>
      <c r="N100" s="572">
        <v>9.4745399999999993</v>
      </c>
      <c r="O100" s="572">
        <v>4.4089300000000007</v>
      </c>
      <c r="P100" s="570">
        <v>49.528999999999996</v>
      </c>
      <c r="Q100" s="570">
        <v>346.72</v>
      </c>
      <c r="R100" s="570">
        <v>73.14</v>
      </c>
      <c r="S100" s="570">
        <v>209.45000000000005</v>
      </c>
      <c r="T100" s="570">
        <v>102.59</v>
      </c>
      <c r="U100" s="570"/>
      <c r="V100" s="570">
        <v>22.399619999999999</v>
      </c>
      <c r="W100" s="570">
        <v>0</v>
      </c>
      <c r="X100" s="598">
        <v>0</v>
      </c>
    </row>
    <row r="101" spans="1:24">
      <c r="A101" s="594">
        <v>96</v>
      </c>
      <c r="B101" s="567" t="s">
        <v>62</v>
      </c>
      <c r="C101" s="568" t="s">
        <v>450</v>
      </c>
      <c r="D101" s="569">
        <v>87.407000000000025</v>
      </c>
      <c r="E101" s="570">
        <v>957.6930000000001</v>
      </c>
      <c r="F101" s="570">
        <v>1020.8870000000001</v>
      </c>
      <c r="G101" s="570">
        <v>190.62999999999997</v>
      </c>
      <c r="H101" s="570">
        <v>194.309</v>
      </c>
      <c r="I101" s="571">
        <v>1.016815</v>
      </c>
      <c r="J101" s="571">
        <v>1.0142899999999999</v>
      </c>
      <c r="K101" s="570">
        <v>308.72800000000007</v>
      </c>
      <c r="L101" s="570">
        <v>201.43950000000001</v>
      </c>
      <c r="M101" s="570">
        <v>435.48899999999992</v>
      </c>
      <c r="N101" s="572">
        <v>5.4954000000000001</v>
      </c>
      <c r="O101" s="572">
        <v>6.7656000000000001</v>
      </c>
      <c r="P101" s="570">
        <v>70.089000000000013</v>
      </c>
      <c r="Q101" s="570">
        <v>44.609000000000002</v>
      </c>
      <c r="R101" s="570">
        <v>78.146000000000001</v>
      </c>
      <c r="S101" s="570">
        <v>168.351</v>
      </c>
      <c r="T101" s="570">
        <v>100.377</v>
      </c>
      <c r="U101" s="570"/>
      <c r="V101" s="570">
        <v>27.317</v>
      </c>
      <c r="W101" s="570">
        <v>0</v>
      </c>
      <c r="X101" s="598">
        <v>0</v>
      </c>
    </row>
    <row r="102" spans="1:24">
      <c r="A102" s="594">
        <v>97</v>
      </c>
      <c r="B102" s="567" t="s">
        <v>62</v>
      </c>
      <c r="C102" s="568" t="s">
        <v>451</v>
      </c>
      <c r="D102" s="569">
        <v>88.517099999999985</v>
      </c>
      <c r="E102" s="570">
        <v>914.42299999999989</v>
      </c>
      <c r="F102" s="570">
        <v>970.60299999999972</v>
      </c>
      <c r="G102" s="570">
        <v>118.04350000000001</v>
      </c>
      <c r="H102" s="570">
        <v>60.489000000000004</v>
      </c>
      <c r="I102" s="571">
        <v>0.9389949999999998</v>
      </c>
      <c r="J102" s="571">
        <v>0.91961999999999988</v>
      </c>
      <c r="K102" s="570">
        <v>161.51059999999998</v>
      </c>
      <c r="L102" s="570">
        <v>129.74609999999998</v>
      </c>
      <c r="M102" s="570">
        <v>230.77370000000002</v>
      </c>
      <c r="N102" s="572">
        <v>9.5057799999999997</v>
      </c>
      <c r="O102" s="572">
        <v>6.6002099999999997</v>
      </c>
      <c r="P102" s="570">
        <v>50.415000000000006</v>
      </c>
      <c r="Q102" s="570">
        <v>173.114</v>
      </c>
      <c r="R102" s="570">
        <v>82.084999999999994</v>
      </c>
      <c r="S102" s="570">
        <v>302.88799999999998</v>
      </c>
      <c r="T102" s="570">
        <v>109.43600000000001</v>
      </c>
      <c r="U102" s="570"/>
      <c r="V102" s="570">
        <v>35.456539999999997</v>
      </c>
      <c r="W102" s="570">
        <v>0</v>
      </c>
      <c r="X102" s="598">
        <v>0</v>
      </c>
    </row>
    <row r="103" spans="1:24">
      <c r="A103" s="594">
        <v>98</v>
      </c>
      <c r="B103" s="567" t="s">
        <v>62</v>
      </c>
      <c r="C103" s="568" t="s">
        <v>154</v>
      </c>
      <c r="D103" s="569">
        <v>91.7</v>
      </c>
      <c r="E103" s="570">
        <v>1039.75</v>
      </c>
      <c r="F103" s="570">
        <v>1097.5</v>
      </c>
      <c r="G103" s="570">
        <v>174.25</v>
      </c>
      <c r="H103" s="570">
        <v>119.5</v>
      </c>
      <c r="I103" s="571">
        <v>1.0975000000000001</v>
      </c>
      <c r="J103" s="571">
        <v>1.0775000000000001</v>
      </c>
      <c r="K103" s="570">
        <v>252.5</v>
      </c>
      <c r="L103" s="570">
        <v>187.75</v>
      </c>
      <c r="M103" s="570">
        <v>351.75</v>
      </c>
      <c r="N103" s="572">
        <v>3.7749999999999999</v>
      </c>
      <c r="O103" s="572">
        <v>8</v>
      </c>
      <c r="P103" s="570">
        <v>51</v>
      </c>
      <c r="Q103" s="570">
        <v>61.25</v>
      </c>
      <c r="R103" s="570">
        <v>81</v>
      </c>
      <c r="S103" s="570">
        <v>193.75</v>
      </c>
      <c r="T103" s="570">
        <v>120.5</v>
      </c>
      <c r="U103" s="570">
        <v>44.5</v>
      </c>
      <c r="V103" s="570">
        <v>95.75</v>
      </c>
      <c r="W103" s="570">
        <v>133</v>
      </c>
      <c r="X103" s="598">
        <v>0</v>
      </c>
    </row>
    <row r="104" spans="1:24">
      <c r="A104" s="594">
        <v>99</v>
      </c>
      <c r="B104" s="567" t="s">
        <v>62</v>
      </c>
      <c r="C104" s="568" t="s">
        <v>452</v>
      </c>
      <c r="D104" s="569">
        <v>88.691699999999983</v>
      </c>
      <c r="E104" s="570">
        <v>898.84399999999982</v>
      </c>
      <c r="F104" s="570">
        <v>950.66799999999978</v>
      </c>
      <c r="G104" s="570">
        <v>86.214999999999989</v>
      </c>
      <c r="H104" s="570">
        <v>24.185000000000002</v>
      </c>
      <c r="I104" s="571">
        <v>0.92631999999999981</v>
      </c>
      <c r="J104" s="571">
        <v>0.9082699999999998</v>
      </c>
      <c r="K104" s="570">
        <v>110.66419999999997</v>
      </c>
      <c r="L104" s="570">
        <v>100.30819999999999</v>
      </c>
      <c r="M104" s="570">
        <v>162.85239999999996</v>
      </c>
      <c r="N104" s="572">
        <v>11.176359999999999</v>
      </c>
      <c r="O104" s="572">
        <v>5.1499199999999989</v>
      </c>
      <c r="P104" s="570">
        <v>64.162999999999982</v>
      </c>
      <c r="Q104" s="570">
        <v>126.04399999999997</v>
      </c>
      <c r="R104" s="570">
        <v>119.70299999999999</v>
      </c>
      <c r="S104" s="570">
        <v>351.19199999999995</v>
      </c>
      <c r="T104" s="570">
        <v>161.13199999999998</v>
      </c>
      <c r="U104" s="570">
        <v>0</v>
      </c>
      <c r="V104" s="570">
        <v>45.072079999999993</v>
      </c>
      <c r="W104" s="570">
        <v>0</v>
      </c>
      <c r="X104" s="598">
        <v>0</v>
      </c>
    </row>
    <row r="105" spans="1:24">
      <c r="A105" s="594">
        <v>100</v>
      </c>
      <c r="B105" s="567" t="s">
        <v>62</v>
      </c>
      <c r="C105" s="568" t="s">
        <v>155</v>
      </c>
      <c r="D105" s="569">
        <v>87.7</v>
      </c>
      <c r="E105" s="570">
        <v>1089</v>
      </c>
      <c r="F105" s="570">
        <v>1160</v>
      </c>
      <c r="G105" s="570">
        <v>180</v>
      </c>
      <c r="H105" s="570">
        <v>220</v>
      </c>
      <c r="I105" s="571">
        <v>1.17</v>
      </c>
      <c r="J105" s="571">
        <v>1.1599999999999999</v>
      </c>
      <c r="K105" s="570">
        <v>325</v>
      </c>
      <c r="L105" s="570">
        <v>185</v>
      </c>
      <c r="M105" s="570">
        <v>430</v>
      </c>
      <c r="N105" s="572">
        <v>3.4</v>
      </c>
      <c r="O105" s="572">
        <v>6.2</v>
      </c>
      <c r="P105" s="570">
        <v>93</v>
      </c>
      <c r="Q105" s="570">
        <v>60</v>
      </c>
      <c r="R105" s="570">
        <v>60</v>
      </c>
      <c r="S105" s="570">
        <v>130</v>
      </c>
      <c r="T105" s="570">
        <v>78</v>
      </c>
      <c r="U105" s="570">
        <v>7</v>
      </c>
      <c r="V105" s="570">
        <v>70</v>
      </c>
      <c r="W105" s="570">
        <v>295</v>
      </c>
      <c r="X105" s="598">
        <v>0</v>
      </c>
    </row>
    <row r="106" spans="1:24">
      <c r="A106" s="594">
        <v>101</v>
      </c>
      <c r="B106" s="567" t="s">
        <v>62</v>
      </c>
      <c r="C106" s="568" t="s">
        <v>453</v>
      </c>
      <c r="D106" s="569">
        <v>90.8</v>
      </c>
      <c r="E106" s="570">
        <v>969</v>
      </c>
      <c r="F106" s="570">
        <v>995.36365033815218</v>
      </c>
      <c r="G106" s="570">
        <v>161</v>
      </c>
      <c r="H106" s="570">
        <v>131</v>
      </c>
      <c r="I106" s="571">
        <v>1.0084126946702241</v>
      </c>
      <c r="J106" s="571">
        <v>0.99084479897003153</v>
      </c>
      <c r="K106" s="570">
        <v>247.83347273065704</v>
      </c>
      <c r="L106" s="570">
        <v>176.26991608239746</v>
      </c>
      <c r="M106" s="570">
        <v>345.90824377985973</v>
      </c>
      <c r="N106" s="572">
        <v>8.4098446826332438</v>
      </c>
      <c r="O106" s="572">
        <v>5.3638505770304645</v>
      </c>
      <c r="P106" s="570">
        <v>67.469853880995217</v>
      </c>
      <c r="Q106" s="570">
        <v>42.71715828007693</v>
      </c>
      <c r="R106" s="570">
        <v>134.52518381212383</v>
      </c>
      <c r="S106" s="570">
        <v>231.73517512564374</v>
      </c>
      <c r="T106" s="570">
        <v>157.57349785940312</v>
      </c>
      <c r="U106" s="570"/>
      <c r="V106" s="570"/>
      <c r="W106" s="570"/>
      <c r="X106" s="598">
        <v>0</v>
      </c>
    </row>
    <row r="107" spans="1:24">
      <c r="A107" s="594">
        <v>102</v>
      </c>
      <c r="B107" s="567" t="s">
        <v>62</v>
      </c>
      <c r="C107" s="568" t="s">
        <v>454</v>
      </c>
      <c r="D107" s="569">
        <v>88</v>
      </c>
      <c r="E107" s="570">
        <v>970</v>
      </c>
      <c r="F107" s="570">
        <v>1025</v>
      </c>
      <c r="G107" s="570">
        <v>175</v>
      </c>
      <c r="H107" s="570">
        <v>105</v>
      </c>
      <c r="I107" s="571">
        <v>0.99897013388259526</v>
      </c>
      <c r="J107" s="571">
        <v>0.97010193168589531</v>
      </c>
      <c r="K107" s="570">
        <v>235</v>
      </c>
      <c r="L107" s="570">
        <v>178</v>
      </c>
      <c r="M107" s="570">
        <v>330</v>
      </c>
      <c r="N107" s="572">
        <v>8</v>
      </c>
      <c r="O107" s="572">
        <v>7</v>
      </c>
      <c r="P107" s="570">
        <v>50</v>
      </c>
      <c r="Q107" s="570">
        <v>100</v>
      </c>
      <c r="R107" s="570">
        <v>292</v>
      </c>
      <c r="S107" s="570">
        <v>484</v>
      </c>
      <c r="T107" s="570">
        <v>361</v>
      </c>
      <c r="U107" s="570">
        <v>65</v>
      </c>
      <c r="V107" s="570">
        <v>0</v>
      </c>
      <c r="W107" s="570"/>
      <c r="X107" s="598">
        <v>0</v>
      </c>
    </row>
    <row r="108" spans="1:24">
      <c r="A108" s="594">
        <v>103</v>
      </c>
      <c r="B108" s="567"/>
      <c r="C108" s="598" t="s">
        <v>156</v>
      </c>
    </row>
    <row r="109" spans="1:24">
      <c r="A109" s="594">
        <v>104</v>
      </c>
      <c r="B109" s="567"/>
      <c r="C109" s="598" t="s">
        <v>156</v>
      </c>
    </row>
    <row r="110" spans="1:24">
      <c r="A110" s="594">
        <v>105</v>
      </c>
      <c r="B110" s="567"/>
      <c r="C110" s="598" t="s">
        <v>156</v>
      </c>
      <c r="D110" s="569"/>
      <c r="E110" s="570"/>
      <c r="F110" s="570"/>
      <c r="G110" s="570"/>
      <c r="H110" s="570"/>
      <c r="I110" s="571"/>
      <c r="J110" s="571"/>
      <c r="K110" s="570"/>
      <c r="L110" s="570"/>
      <c r="M110" s="570"/>
      <c r="N110" s="572"/>
      <c r="O110" s="572"/>
      <c r="P110" s="570"/>
      <c r="Q110" s="570"/>
      <c r="R110" s="570"/>
      <c r="S110" s="570"/>
      <c r="T110" s="570"/>
      <c r="U110" s="570"/>
      <c r="V110" s="570"/>
      <c r="W110" s="570"/>
      <c r="X110" s="598"/>
    </row>
    <row r="111" spans="1:24">
      <c r="A111" s="594">
        <v>106</v>
      </c>
      <c r="B111" s="567"/>
      <c r="C111" s="598" t="s">
        <v>156</v>
      </c>
    </row>
    <row r="112" spans="1:24">
      <c r="A112" s="594">
        <v>107</v>
      </c>
      <c r="B112" s="567"/>
      <c r="C112" s="598" t="s">
        <v>156</v>
      </c>
    </row>
    <row r="113" spans="1:24">
      <c r="A113" s="594">
        <v>108</v>
      </c>
      <c r="B113" s="567"/>
      <c r="C113" s="598" t="s">
        <v>156</v>
      </c>
    </row>
    <row r="114" spans="1:24">
      <c r="A114" s="594">
        <v>109</v>
      </c>
      <c r="B114" s="567"/>
      <c r="C114" s="598" t="s">
        <v>156</v>
      </c>
      <c r="D114" s="569"/>
      <c r="E114" s="570"/>
      <c r="F114" s="570"/>
      <c r="G114" s="570"/>
      <c r="H114" s="570"/>
      <c r="I114" s="571"/>
      <c r="J114" s="571"/>
      <c r="K114" s="570"/>
      <c r="L114" s="570"/>
      <c r="M114" s="570"/>
      <c r="N114" s="572"/>
      <c r="O114" s="572"/>
      <c r="P114" s="570"/>
      <c r="Q114" s="570"/>
      <c r="R114" s="570"/>
      <c r="S114" s="570"/>
      <c r="T114" s="570"/>
      <c r="U114" s="570"/>
      <c r="V114" s="570"/>
      <c r="W114" s="570"/>
      <c r="X114" s="598"/>
    </row>
    <row r="115" spans="1:24">
      <c r="A115" s="594">
        <v>110</v>
      </c>
      <c r="B115" s="567"/>
      <c r="C115" s="598" t="s">
        <v>156</v>
      </c>
    </row>
    <row r="116" spans="1:24">
      <c r="A116" s="594">
        <v>111</v>
      </c>
      <c r="B116" s="567"/>
      <c r="C116" s="598" t="s">
        <v>156</v>
      </c>
      <c r="D116" s="569"/>
      <c r="E116" s="570"/>
      <c r="F116" s="570"/>
      <c r="G116" s="570"/>
      <c r="H116" s="570"/>
      <c r="I116" s="571"/>
      <c r="J116" s="571"/>
      <c r="K116" s="570"/>
      <c r="L116" s="570"/>
      <c r="M116" s="570"/>
      <c r="N116" s="572"/>
      <c r="O116" s="572"/>
      <c r="P116" s="570"/>
      <c r="Q116" s="570"/>
      <c r="R116" s="570"/>
      <c r="S116" s="570"/>
      <c r="T116" s="570"/>
      <c r="U116" s="570"/>
      <c r="V116" s="570"/>
      <c r="W116" s="570"/>
      <c r="X116" s="598"/>
    </row>
    <row r="117" spans="1:24">
      <c r="A117" s="594">
        <v>112</v>
      </c>
      <c r="B117" s="567"/>
      <c r="C117" s="598" t="s">
        <v>156</v>
      </c>
      <c r="D117" s="569"/>
      <c r="E117" s="570"/>
      <c r="F117" s="570"/>
      <c r="G117" s="570"/>
      <c r="H117" s="570"/>
      <c r="I117" s="571"/>
      <c r="J117" s="571"/>
      <c r="K117" s="570"/>
      <c r="L117" s="570"/>
      <c r="M117" s="570"/>
      <c r="N117" s="572"/>
      <c r="O117" s="572"/>
      <c r="P117" s="570"/>
      <c r="Q117" s="570"/>
      <c r="R117" s="570"/>
      <c r="S117" s="570"/>
      <c r="T117" s="570"/>
      <c r="U117" s="570"/>
      <c r="V117" s="570"/>
      <c r="W117" s="570"/>
      <c r="X117" s="598"/>
    </row>
    <row r="118" spans="1:24">
      <c r="A118" s="594">
        <v>113</v>
      </c>
      <c r="B118" s="567"/>
      <c r="C118" s="598" t="s">
        <v>156</v>
      </c>
      <c r="D118" s="569"/>
      <c r="E118" s="570"/>
      <c r="F118" s="570"/>
      <c r="G118" s="570"/>
      <c r="H118" s="570"/>
      <c r="I118" s="571"/>
      <c r="J118" s="571"/>
      <c r="K118" s="570"/>
      <c r="L118" s="570"/>
      <c r="M118" s="570"/>
      <c r="N118" s="572"/>
      <c r="O118" s="572"/>
      <c r="P118" s="570"/>
      <c r="Q118" s="570"/>
      <c r="R118" s="570"/>
      <c r="S118" s="570"/>
      <c r="T118" s="570"/>
      <c r="U118" s="570"/>
      <c r="V118" s="570"/>
      <c r="W118" s="570"/>
      <c r="X118" s="598"/>
    </row>
    <row r="119" spans="1:24">
      <c r="A119" s="594">
        <v>114</v>
      </c>
      <c r="B119" s="567"/>
      <c r="C119" s="598" t="s">
        <v>156</v>
      </c>
      <c r="D119" s="569"/>
      <c r="E119" s="570"/>
      <c r="F119" s="570"/>
      <c r="G119" s="570"/>
      <c r="H119" s="570"/>
      <c r="I119" s="571"/>
      <c r="J119" s="571"/>
      <c r="K119" s="570"/>
      <c r="L119" s="570"/>
      <c r="M119" s="570"/>
      <c r="N119" s="572"/>
      <c r="O119" s="572"/>
      <c r="P119" s="570"/>
      <c r="Q119" s="570"/>
      <c r="R119" s="570"/>
      <c r="S119" s="570"/>
      <c r="T119" s="570"/>
      <c r="U119" s="570"/>
      <c r="V119" s="570"/>
      <c r="W119" s="570"/>
      <c r="X119" s="598"/>
    </row>
    <row r="120" spans="1:24">
      <c r="A120" s="594">
        <v>115</v>
      </c>
      <c r="B120" s="567"/>
      <c r="C120" s="598" t="s">
        <v>156</v>
      </c>
    </row>
    <row r="121" spans="1:24">
      <c r="A121" s="594">
        <v>116</v>
      </c>
      <c r="B121" s="567"/>
      <c r="C121" s="598" t="s">
        <v>156</v>
      </c>
      <c r="D121" s="569"/>
      <c r="E121" s="570"/>
      <c r="F121" s="570"/>
      <c r="G121" s="570"/>
      <c r="H121" s="570"/>
      <c r="I121" s="571"/>
      <c r="J121" s="571"/>
      <c r="K121" s="570"/>
      <c r="L121" s="570"/>
      <c r="M121" s="570"/>
      <c r="N121" s="572"/>
      <c r="O121" s="572"/>
      <c r="P121" s="570"/>
      <c r="Q121" s="570"/>
      <c r="R121" s="570"/>
      <c r="S121" s="570"/>
      <c r="T121" s="570"/>
      <c r="U121" s="570"/>
      <c r="V121" s="570"/>
      <c r="W121" s="570"/>
      <c r="X121" s="598"/>
    </row>
    <row r="122" spans="1:24">
      <c r="A122" s="594">
        <v>117</v>
      </c>
      <c r="B122" s="567"/>
      <c r="C122" s="598" t="s">
        <v>156</v>
      </c>
    </row>
    <row r="123" spans="1:24">
      <c r="A123" s="594">
        <v>118</v>
      </c>
      <c r="B123" s="567"/>
      <c r="C123" s="598" t="s">
        <v>156</v>
      </c>
      <c r="D123" s="569"/>
      <c r="E123" s="570"/>
      <c r="F123" s="570"/>
      <c r="G123" s="570"/>
      <c r="H123" s="570"/>
      <c r="I123" s="571"/>
      <c r="J123" s="571"/>
      <c r="K123" s="570"/>
      <c r="L123" s="570"/>
      <c r="M123" s="570"/>
      <c r="N123" s="572"/>
      <c r="O123" s="572"/>
      <c r="P123" s="570"/>
      <c r="Q123" s="570"/>
      <c r="R123" s="570"/>
      <c r="S123" s="570"/>
      <c r="T123" s="570"/>
      <c r="U123" s="570"/>
      <c r="V123" s="570"/>
      <c r="W123" s="570"/>
      <c r="X123" s="598"/>
    </row>
    <row r="124" spans="1:24">
      <c r="A124" s="594">
        <v>119</v>
      </c>
      <c r="B124" s="567"/>
      <c r="C124" s="598" t="s">
        <v>156</v>
      </c>
    </row>
    <row r="125" spans="1:24">
      <c r="A125" s="594">
        <v>120</v>
      </c>
      <c r="B125" s="567"/>
      <c r="C125" s="598" t="s">
        <v>156</v>
      </c>
    </row>
    <row r="126" spans="1:24">
      <c r="A126" s="594">
        <v>121</v>
      </c>
      <c r="B126" s="567"/>
      <c r="C126" s="598" t="s">
        <v>156</v>
      </c>
    </row>
    <row r="127" spans="1:24">
      <c r="A127" s="594">
        <v>122</v>
      </c>
      <c r="B127" s="567"/>
      <c r="C127" s="598" t="s">
        <v>156</v>
      </c>
    </row>
    <row r="128" spans="1:24">
      <c r="A128" s="594">
        <v>123</v>
      </c>
      <c r="B128" s="567"/>
      <c r="C128" s="598" t="s">
        <v>156</v>
      </c>
      <c r="D128" s="569"/>
      <c r="E128" s="570"/>
      <c r="F128" s="570"/>
      <c r="G128" s="570"/>
      <c r="H128" s="570"/>
      <c r="I128" s="571"/>
      <c r="J128" s="571"/>
      <c r="K128" s="570"/>
      <c r="L128" s="570"/>
      <c r="M128" s="570"/>
      <c r="N128" s="572"/>
      <c r="O128" s="572"/>
      <c r="P128" s="570"/>
      <c r="Q128" s="570"/>
      <c r="R128" s="570"/>
      <c r="S128" s="570"/>
      <c r="T128" s="570"/>
      <c r="U128" s="570"/>
      <c r="V128" s="570"/>
      <c r="W128" s="570"/>
      <c r="X128" s="598"/>
    </row>
    <row r="129" spans="1:24">
      <c r="A129" s="594">
        <v>124</v>
      </c>
      <c r="B129" s="567"/>
      <c r="C129" s="598" t="s">
        <v>156</v>
      </c>
      <c r="D129" s="569"/>
      <c r="E129" s="570"/>
      <c r="F129" s="570"/>
      <c r="G129" s="570"/>
      <c r="H129" s="570"/>
      <c r="I129" s="571"/>
      <c r="J129" s="571"/>
      <c r="K129" s="570"/>
      <c r="L129" s="570"/>
      <c r="M129" s="570"/>
      <c r="N129" s="572"/>
      <c r="O129" s="572"/>
      <c r="P129" s="570"/>
      <c r="Q129" s="570"/>
      <c r="R129" s="570"/>
      <c r="S129" s="570"/>
      <c r="T129" s="570"/>
      <c r="U129" s="570"/>
      <c r="V129" s="570"/>
      <c r="W129" s="570"/>
      <c r="X129" s="598"/>
    </row>
    <row r="130" spans="1:24">
      <c r="A130" s="594">
        <v>125</v>
      </c>
      <c r="B130" s="597"/>
      <c r="C130" s="598" t="s">
        <v>156</v>
      </c>
      <c r="D130" s="599"/>
      <c r="E130" s="600"/>
      <c r="F130" s="600"/>
      <c r="G130" s="600"/>
      <c r="H130" s="600"/>
      <c r="I130" s="601"/>
      <c r="J130" s="601"/>
      <c r="K130" s="600"/>
      <c r="L130" s="600"/>
      <c r="M130" s="600"/>
      <c r="N130" s="602"/>
      <c r="O130" s="602"/>
      <c r="P130" s="600"/>
      <c r="Q130" s="600"/>
      <c r="R130" s="600"/>
      <c r="S130" s="600"/>
      <c r="T130" s="600"/>
      <c r="U130" s="600"/>
      <c r="V130" s="600"/>
      <c r="W130" s="600"/>
      <c r="X130" s="598"/>
    </row>
    <row r="131" spans="1:24">
      <c r="A131" s="594">
        <v>126</v>
      </c>
      <c r="B131" s="597"/>
      <c r="C131" s="598" t="s">
        <v>156</v>
      </c>
      <c r="D131" s="599"/>
      <c r="E131" s="600"/>
      <c r="F131" s="600"/>
      <c r="G131" s="600"/>
      <c r="H131" s="600"/>
      <c r="I131" s="601"/>
      <c r="J131" s="601"/>
      <c r="K131" s="600"/>
      <c r="L131" s="600"/>
      <c r="M131" s="600"/>
      <c r="N131" s="602"/>
      <c r="O131" s="602"/>
      <c r="P131" s="600"/>
      <c r="Q131" s="600"/>
      <c r="R131" s="600"/>
      <c r="S131" s="600"/>
      <c r="T131" s="600"/>
      <c r="U131" s="600"/>
      <c r="V131" s="600"/>
      <c r="W131" s="600"/>
      <c r="X131" s="598"/>
    </row>
    <row r="132" spans="1:24">
      <c r="A132" s="594">
        <v>127</v>
      </c>
      <c r="B132" s="597"/>
      <c r="C132" s="598" t="s">
        <v>156</v>
      </c>
      <c r="D132" s="599"/>
      <c r="E132" s="600"/>
      <c r="F132" s="600"/>
      <c r="G132" s="600"/>
      <c r="H132" s="600"/>
      <c r="I132" s="601"/>
      <c r="J132" s="601"/>
      <c r="K132" s="600"/>
      <c r="L132" s="600"/>
      <c r="M132" s="600"/>
      <c r="N132" s="602"/>
      <c r="O132" s="602"/>
      <c r="P132" s="600"/>
      <c r="Q132" s="600"/>
      <c r="R132" s="600"/>
      <c r="S132" s="600"/>
      <c r="T132" s="600"/>
      <c r="U132" s="600"/>
      <c r="V132" s="600"/>
      <c r="W132" s="600"/>
      <c r="X132" s="598"/>
    </row>
    <row r="133" spans="1:24">
      <c r="A133" s="594">
        <v>128</v>
      </c>
      <c r="B133" s="597"/>
      <c r="C133" s="598" t="s">
        <v>156</v>
      </c>
      <c r="D133" s="599"/>
      <c r="E133" s="600"/>
      <c r="F133" s="600"/>
      <c r="G133" s="600"/>
      <c r="H133" s="600"/>
      <c r="I133" s="601"/>
      <c r="J133" s="601"/>
      <c r="K133" s="600"/>
      <c r="L133" s="600"/>
      <c r="M133" s="600"/>
      <c r="N133" s="602"/>
      <c r="O133" s="602"/>
      <c r="P133" s="600"/>
      <c r="Q133" s="600"/>
      <c r="R133" s="600"/>
      <c r="S133" s="600"/>
      <c r="T133" s="600"/>
      <c r="U133" s="600"/>
      <c r="V133" s="600"/>
      <c r="W133" s="600"/>
      <c r="X133" s="598"/>
    </row>
    <row r="134" spans="1:24">
      <c r="A134" s="594">
        <v>129</v>
      </c>
      <c r="B134" s="597"/>
      <c r="C134" s="598" t="s">
        <v>156</v>
      </c>
      <c r="D134" s="599"/>
      <c r="E134" s="600"/>
      <c r="F134" s="600"/>
      <c r="G134" s="600"/>
      <c r="H134" s="600"/>
      <c r="I134" s="601"/>
      <c r="J134" s="601"/>
      <c r="K134" s="600"/>
      <c r="L134" s="600"/>
      <c r="M134" s="600"/>
      <c r="N134" s="602"/>
      <c r="O134" s="602"/>
      <c r="P134" s="600"/>
      <c r="Q134" s="600"/>
      <c r="R134" s="600"/>
      <c r="S134" s="600"/>
      <c r="T134" s="600"/>
      <c r="U134" s="600"/>
      <c r="V134" s="600"/>
      <c r="W134" s="600"/>
      <c r="X134" s="598"/>
    </row>
    <row r="135" spans="1:24">
      <c r="A135" s="594">
        <v>130</v>
      </c>
      <c r="B135" s="597"/>
      <c r="C135" s="598" t="s">
        <v>156</v>
      </c>
      <c r="D135" s="599"/>
      <c r="E135" s="600"/>
      <c r="F135" s="600"/>
      <c r="G135" s="600"/>
      <c r="H135" s="600"/>
      <c r="I135" s="601"/>
      <c r="J135" s="601"/>
      <c r="K135" s="600"/>
      <c r="L135" s="600"/>
      <c r="M135" s="600"/>
      <c r="N135" s="602"/>
      <c r="O135" s="602"/>
      <c r="P135" s="600"/>
      <c r="Q135" s="600"/>
      <c r="R135" s="600"/>
      <c r="S135" s="600"/>
      <c r="T135" s="600"/>
      <c r="U135" s="600"/>
      <c r="V135" s="600"/>
      <c r="W135" s="600"/>
      <c r="X135" s="598"/>
    </row>
    <row r="136" spans="1:24">
      <c r="A136" s="594">
        <v>131</v>
      </c>
      <c r="B136" s="567"/>
      <c r="C136" s="598" t="s">
        <v>156</v>
      </c>
      <c r="D136" s="569"/>
      <c r="E136" s="570"/>
      <c r="F136" s="570"/>
      <c r="G136" s="570"/>
      <c r="H136" s="570"/>
      <c r="I136" s="571"/>
      <c r="J136" s="571"/>
      <c r="K136" s="570"/>
      <c r="L136" s="570"/>
      <c r="M136" s="570"/>
      <c r="N136" s="572"/>
      <c r="O136" s="572"/>
      <c r="P136" s="570"/>
      <c r="Q136" s="570"/>
      <c r="R136" s="570"/>
      <c r="S136" s="570"/>
      <c r="T136" s="570"/>
      <c r="U136" s="570"/>
      <c r="V136" s="570"/>
      <c r="W136" s="570"/>
      <c r="X136" s="598"/>
    </row>
    <row r="137" spans="1:24">
      <c r="A137" s="594">
        <v>132</v>
      </c>
      <c r="B137" s="567"/>
      <c r="C137" s="598" t="s">
        <v>156</v>
      </c>
      <c r="D137" s="569"/>
      <c r="E137" s="570"/>
      <c r="F137" s="570"/>
      <c r="G137" s="570"/>
      <c r="H137" s="570"/>
      <c r="I137" s="571"/>
      <c r="J137" s="571"/>
      <c r="K137" s="570"/>
      <c r="L137" s="570"/>
      <c r="M137" s="570"/>
      <c r="N137" s="572"/>
      <c r="O137" s="572"/>
      <c r="P137" s="570"/>
      <c r="Q137" s="570"/>
      <c r="R137" s="570"/>
      <c r="S137" s="570"/>
      <c r="T137" s="570"/>
      <c r="U137" s="570"/>
      <c r="V137" s="570"/>
      <c r="W137" s="570"/>
      <c r="X137" s="598"/>
    </row>
    <row r="138" spans="1:24">
      <c r="A138" s="594">
        <v>133</v>
      </c>
      <c r="B138" s="567"/>
      <c r="C138" s="598" t="s">
        <v>156</v>
      </c>
      <c r="D138" s="569"/>
      <c r="E138" s="570"/>
      <c r="F138" s="570"/>
      <c r="G138" s="570"/>
      <c r="H138" s="570"/>
      <c r="I138" s="571"/>
      <c r="J138" s="571"/>
      <c r="K138" s="570"/>
      <c r="L138" s="570"/>
      <c r="M138" s="570"/>
      <c r="N138" s="572"/>
      <c r="O138" s="572"/>
      <c r="P138" s="570"/>
      <c r="Q138" s="570"/>
      <c r="R138" s="570"/>
      <c r="S138" s="570"/>
      <c r="T138" s="570"/>
      <c r="U138" s="570"/>
      <c r="V138" s="570"/>
      <c r="W138" s="570"/>
      <c r="X138" s="598"/>
    </row>
    <row r="139" spans="1:24">
      <c r="A139" s="594">
        <v>134</v>
      </c>
      <c r="B139" s="567"/>
      <c r="C139" s="598" t="s">
        <v>156</v>
      </c>
      <c r="D139" s="569"/>
      <c r="E139" s="570"/>
      <c r="F139" s="570"/>
      <c r="G139" s="570"/>
      <c r="H139" s="570"/>
      <c r="I139" s="571"/>
      <c r="J139" s="571"/>
      <c r="K139" s="570"/>
      <c r="L139" s="570"/>
      <c r="M139" s="570"/>
      <c r="N139" s="572"/>
      <c r="O139" s="572"/>
      <c r="P139" s="570"/>
      <c r="Q139" s="570"/>
      <c r="R139" s="570"/>
      <c r="S139" s="570"/>
      <c r="T139" s="570"/>
      <c r="U139" s="570"/>
      <c r="V139" s="570"/>
      <c r="W139" s="570"/>
      <c r="X139" s="598"/>
    </row>
    <row r="140" spans="1:24">
      <c r="A140" s="594">
        <v>135</v>
      </c>
      <c r="B140" s="567"/>
      <c r="C140" s="598" t="s">
        <v>156</v>
      </c>
      <c r="D140" s="569"/>
      <c r="E140" s="570"/>
      <c r="F140" s="570"/>
      <c r="G140" s="570"/>
      <c r="H140" s="570"/>
      <c r="I140" s="571"/>
      <c r="J140" s="571"/>
      <c r="K140" s="570"/>
      <c r="L140" s="570"/>
      <c r="M140" s="570"/>
      <c r="N140" s="572"/>
      <c r="O140" s="572"/>
      <c r="P140" s="570"/>
      <c r="Q140" s="570"/>
      <c r="R140" s="570"/>
      <c r="S140" s="570"/>
      <c r="T140" s="570"/>
      <c r="U140" s="570"/>
      <c r="V140" s="570"/>
      <c r="W140" s="570"/>
      <c r="X140" s="598"/>
    </row>
    <row r="141" spans="1:24">
      <c r="A141" s="594">
        <v>136</v>
      </c>
      <c r="B141" s="567"/>
      <c r="C141" s="598" t="s">
        <v>156</v>
      </c>
      <c r="D141" s="569"/>
      <c r="E141" s="570"/>
      <c r="F141" s="570"/>
      <c r="G141" s="570"/>
      <c r="H141" s="570"/>
      <c r="I141" s="571"/>
      <c r="J141" s="571"/>
      <c r="K141" s="570"/>
      <c r="L141" s="570"/>
      <c r="M141" s="570"/>
      <c r="N141" s="572"/>
      <c r="O141" s="572"/>
      <c r="P141" s="570"/>
      <c r="Q141" s="570"/>
      <c r="R141" s="570"/>
      <c r="S141" s="570"/>
      <c r="T141" s="570"/>
      <c r="U141" s="570"/>
      <c r="V141" s="570"/>
      <c r="W141" s="570"/>
      <c r="X141" s="598"/>
    </row>
    <row r="142" spans="1:24">
      <c r="A142" s="594">
        <v>137</v>
      </c>
      <c r="B142" s="567"/>
      <c r="C142" s="598" t="s">
        <v>156</v>
      </c>
      <c r="D142" s="569"/>
      <c r="E142" s="570"/>
      <c r="F142" s="570"/>
      <c r="G142" s="570"/>
      <c r="H142" s="570"/>
      <c r="I142" s="571"/>
      <c r="J142" s="571"/>
      <c r="K142" s="570"/>
      <c r="L142" s="570"/>
      <c r="M142" s="570"/>
      <c r="N142" s="572"/>
      <c r="O142" s="572"/>
      <c r="P142" s="570"/>
      <c r="Q142" s="570"/>
      <c r="R142" s="570"/>
      <c r="S142" s="570"/>
      <c r="T142" s="570"/>
      <c r="U142" s="570"/>
      <c r="V142" s="570"/>
      <c r="W142" s="570"/>
      <c r="X142" s="598"/>
    </row>
    <row r="143" spans="1:24">
      <c r="A143" s="594">
        <v>138</v>
      </c>
      <c r="B143" s="567"/>
      <c r="C143" s="598" t="s">
        <v>156</v>
      </c>
      <c r="D143" s="569"/>
      <c r="E143" s="570"/>
      <c r="F143" s="570"/>
      <c r="G143" s="570"/>
      <c r="H143" s="570"/>
      <c r="I143" s="571"/>
      <c r="J143" s="571"/>
      <c r="K143" s="570"/>
      <c r="L143" s="570"/>
      <c r="M143" s="570"/>
      <c r="N143" s="572"/>
      <c r="O143" s="572"/>
      <c r="P143" s="570"/>
      <c r="Q143" s="570"/>
      <c r="R143" s="570"/>
      <c r="S143" s="570"/>
      <c r="T143" s="570"/>
      <c r="U143" s="570"/>
      <c r="V143" s="570"/>
      <c r="W143" s="570"/>
      <c r="X143" s="598"/>
    </row>
    <row r="144" spans="1:24">
      <c r="A144" s="594">
        <v>139</v>
      </c>
      <c r="B144" s="567"/>
      <c r="C144" s="598" t="s">
        <v>156</v>
      </c>
      <c r="D144" s="569"/>
      <c r="E144" s="570"/>
      <c r="F144" s="570"/>
      <c r="G144" s="570"/>
      <c r="H144" s="570"/>
      <c r="I144" s="571"/>
      <c r="J144" s="571"/>
      <c r="K144" s="570"/>
      <c r="L144" s="570"/>
      <c r="M144" s="570"/>
      <c r="N144" s="572"/>
      <c r="O144" s="572"/>
      <c r="P144" s="570"/>
      <c r="Q144" s="570"/>
      <c r="R144" s="570"/>
      <c r="S144" s="570"/>
      <c r="T144" s="570"/>
      <c r="U144" s="570"/>
      <c r="V144" s="570"/>
      <c r="W144" s="570"/>
      <c r="X144" s="598"/>
    </row>
    <row r="145" spans="1:24">
      <c r="A145" s="594">
        <v>140</v>
      </c>
      <c r="B145" s="567"/>
      <c r="C145" s="598" t="s">
        <v>156</v>
      </c>
      <c r="D145" s="569"/>
      <c r="E145" s="570"/>
      <c r="F145" s="570"/>
      <c r="G145" s="570"/>
      <c r="H145" s="570"/>
      <c r="I145" s="571"/>
      <c r="J145" s="571"/>
      <c r="K145" s="570"/>
      <c r="L145" s="570"/>
      <c r="M145" s="570"/>
      <c r="N145" s="572"/>
      <c r="O145" s="572"/>
      <c r="P145" s="570"/>
      <c r="Q145" s="570"/>
      <c r="R145" s="570"/>
      <c r="S145" s="570"/>
      <c r="T145" s="570"/>
      <c r="U145" s="570"/>
      <c r="V145" s="570"/>
      <c r="W145" s="570"/>
      <c r="X145" s="598"/>
    </row>
    <row r="146" spans="1:24">
      <c r="A146" s="594">
        <v>141</v>
      </c>
      <c r="B146" s="567"/>
      <c r="C146" s="598" t="s">
        <v>156</v>
      </c>
      <c r="D146" s="569"/>
      <c r="E146" s="570"/>
      <c r="F146" s="570"/>
      <c r="G146" s="570"/>
      <c r="H146" s="570"/>
      <c r="I146" s="571"/>
      <c r="J146" s="571"/>
      <c r="K146" s="570"/>
      <c r="L146" s="570"/>
      <c r="M146" s="570"/>
      <c r="N146" s="572"/>
      <c r="O146" s="572"/>
      <c r="P146" s="570"/>
      <c r="Q146" s="570"/>
      <c r="R146" s="570"/>
      <c r="S146" s="570"/>
      <c r="T146" s="570"/>
      <c r="U146" s="570"/>
      <c r="V146" s="570"/>
      <c r="W146" s="570"/>
      <c r="X146" s="598"/>
    </row>
    <row r="147" spans="1:24">
      <c r="A147" s="594">
        <v>142</v>
      </c>
      <c r="B147" s="567"/>
      <c r="C147" s="598" t="s">
        <v>156</v>
      </c>
      <c r="D147" s="569"/>
      <c r="E147" s="570"/>
      <c r="F147" s="570"/>
      <c r="G147" s="570"/>
      <c r="H147" s="570"/>
      <c r="I147" s="571"/>
      <c r="J147" s="571"/>
      <c r="K147" s="570"/>
      <c r="L147" s="570"/>
      <c r="M147" s="570"/>
      <c r="N147" s="572"/>
      <c r="O147" s="572"/>
      <c r="P147" s="570"/>
      <c r="Q147" s="570"/>
      <c r="R147" s="570"/>
      <c r="S147" s="570"/>
      <c r="T147" s="570"/>
      <c r="U147" s="570"/>
      <c r="V147" s="570"/>
      <c r="W147" s="570"/>
      <c r="X147" s="598"/>
    </row>
    <row r="148" spans="1:24">
      <c r="A148" s="594">
        <v>143</v>
      </c>
      <c r="B148" s="567"/>
      <c r="C148" s="598" t="s">
        <v>156</v>
      </c>
      <c r="D148" s="569"/>
      <c r="E148" s="570"/>
      <c r="F148" s="570"/>
      <c r="G148" s="570"/>
      <c r="H148" s="570"/>
      <c r="I148" s="571"/>
      <c r="J148" s="571"/>
      <c r="K148" s="570"/>
      <c r="L148" s="570"/>
      <c r="M148" s="570"/>
      <c r="N148" s="572"/>
      <c r="O148" s="572"/>
      <c r="P148" s="570"/>
      <c r="Q148" s="570"/>
      <c r="R148" s="570"/>
      <c r="S148" s="570"/>
      <c r="T148" s="570"/>
      <c r="U148" s="570"/>
      <c r="V148" s="570"/>
      <c r="W148" s="570"/>
      <c r="X148" s="598"/>
    </row>
    <row r="149" spans="1:24">
      <c r="A149" s="594">
        <v>144</v>
      </c>
      <c r="B149" s="567"/>
      <c r="C149" s="598" t="s">
        <v>156</v>
      </c>
      <c r="D149" s="569"/>
      <c r="E149" s="570"/>
      <c r="F149" s="570"/>
      <c r="G149" s="570"/>
      <c r="H149" s="570"/>
      <c r="I149" s="571"/>
      <c r="J149" s="571"/>
      <c r="K149" s="570"/>
      <c r="L149" s="570"/>
      <c r="M149" s="570"/>
      <c r="N149" s="572"/>
      <c r="O149" s="572"/>
      <c r="P149" s="570"/>
      <c r="Q149" s="570"/>
      <c r="R149" s="570"/>
      <c r="S149" s="570"/>
      <c r="T149" s="570"/>
      <c r="U149" s="570"/>
      <c r="V149" s="570"/>
      <c r="W149" s="570"/>
      <c r="X149" s="598"/>
    </row>
    <row r="150" spans="1:24">
      <c r="A150" s="594">
        <v>145</v>
      </c>
      <c r="B150" s="567"/>
      <c r="C150" s="598" t="s">
        <v>156</v>
      </c>
      <c r="D150" s="569"/>
      <c r="E150" s="570"/>
      <c r="F150" s="570"/>
      <c r="G150" s="570"/>
      <c r="H150" s="570"/>
      <c r="I150" s="571"/>
      <c r="J150" s="571"/>
      <c r="K150" s="570"/>
      <c r="L150" s="570"/>
      <c r="M150" s="570"/>
      <c r="N150" s="572"/>
      <c r="O150" s="572"/>
      <c r="P150" s="570"/>
      <c r="Q150" s="570"/>
      <c r="R150" s="570"/>
      <c r="S150" s="570"/>
      <c r="T150" s="570"/>
      <c r="U150" s="570"/>
      <c r="V150" s="570"/>
      <c r="W150" s="570"/>
      <c r="X150" s="598"/>
    </row>
    <row r="151" spans="1:24">
      <c r="A151" s="594">
        <v>146</v>
      </c>
      <c r="B151" s="567"/>
      <c r="C151" s="598" t="s">
        <v>156</v>
      </c>
      <c r="D151" s="569"/>
      <c r="E151" s="570"/>
      <c r="F151" s="570"/>
      <c r="G151" s="570"/>
      <c r="H151" s="570"/>
      <c r="I151" s="571"/>
      <c r="J151" s="571"/>
      <c r="K151" s="570"/>
      <c r="L151" s="570"/>
      <c r="M151" s="570"/>
      <c r="N151" s="572"/>
      <c r="O151" s="572"/>
      <c r="P151" s="570"/>
      <c r="Q151" s="570"/>
      <c r="R151" s="570"/>
      <c r="S151" s="570"/>
      <c r="T151" s="570"/>
      <c r="U151" s="570"/>
      <c r="V151" s="570"/>
      <c r="W151" s="570"/>
      <c r="X151" s="598"/>
    </row>
    <row r="152" spans="1:24">
      <c r="A152" s="594">
        <v>147</v>
      </c>
      <c r="B152" s="567"/>
      <c r="C152" s="598" t="s">
        <v>156</v>
      </c>
      <c r="D152" s="569"/>
      <c r="E152" s="570"/>
      <c r="F152" s="570"/>
      <c r="G152" s="570"/>
      <c r="H152" s="570"/>
      <c r="I152" s="571"/>
      <c r="J152" s="571"/>
      <c r="K152" s="570"/>
      <c r="L152" s="570"/>
      <c r="M152" s="570"/>
      <c r="N152" s="572"/>
      <c r="O152" s="572"/>
      <c r="P152" s="570"/>
      <c r="Q152" s="570"/>
      <c r="R152" s="570"/>
      <c r="S152" s="570"/>
      <c r="T152" s="570"/>
      <c r="U152" s="570"/>
      <c r="V152" s="570"/>
      <c r="W152" s="570"/>
      <c r="X152" s="598"/>
    </row>
    <row r="153" spans="1:24">
      <c r="A153" s="594">
        <v>148</v>
      </c>
      <c r="B153" s="567"/>
      <c r="C153" s="598" t="s">
        <v>156</v>
      </c>
      <c r="D153" s="569"/>
      <c r="E153" s="570"/>
      <c r="F153" s="570"/>
      <c r="G153" s="570"/>
      <c r="H153" s="570"/>
      <c r="I153" s="571"/>
      <c r="J153" s="571"/>
      <c r="K153" s="570"/>
      <c r="L153" s="570"/>
      <c r="M153" s="570"/>
      <c r="N153" s="572"/>
      <c r="O153" s="572"/>
      <c r="P153" s="570"/>
      <c r="Q153" s="570"/>
      <c r="R153" s="570"/>
      <c r="S153" s="570"/>
      <c r="T153" s="570"/>
      <c r="U153" s="570"/>
      <c r="V153" s="570"/>
      <c r="W153" s="570"/>
      <c r="X153" s="598"/>
    </row>
    <row r="154" spans="1:24">
      <c r="A154" s="594">
        <v>149</v>
      </c>
      <c r="B154" s="567"/>
      <c r="C154" s="598" t="s">
        <v>156</v>
      </c>
      <c r="D154" s="569"/>
      <c r="E154" s="570"/>
      <c r="F154" s="570"/>
      <c r="G154" s="570"/>
      <c r="H154" s="570"/>
      <c r="I154" s="571"/>
      <c r="J154" s="571"/>
      <c r="K154" s="570"/>
      <c r="L154" s="570"/>
      <c r="M154" s="570"/>
      <c r="N154" s="572"/>
      <c r="O154" s="572"/>
      <c r="P154" s="570"/>
      <c r="Q154" s="570"/>
      <c r="R154" s="570"/>
      <c r="S154" s="570"/>
      <c r="T154" s="570"/>
      <c r="U154" s="570"/>
      <c r="V154" s="570"/>
      <c r="W154" s="570"/>
      <c r="X154" s="598"/>
    </row>
    <row r="155" spans="1:24">
      <c r="A155" s="594">
        <v>150</v>
      </c>
      <c r="B155" s="567"/>
      <c r="C155" s="598" t="s">
        <v>156</v>
      </c>
      <c r="D155" s="569"/>
      <c r="E155" s="570"/>
      <c r="F155" s="570"/>
      <c r="G155" s="570"/>
      <c r="H155" s="570"/>
      <c r="I155" s="571"/>
      <c r="J155" s="571"/>
      <c r="K155" s="570"/>
      <c r="L155" s="570"/>
      <c r="M155" s="570"/>
      <c r="N155" s="572"/>
      <c r="O155" s="572"/>
      <c r="P155" s="570"/>
      <c r="Q155" s="570"/>
      <c r="R155" s="570"/>
      <c r="S155" s="570"/>
      <c r="T155" s="570"/>
      <c r="U155" s="570"/>
      <c r="V155" s="570"/>
      <c r="W155" s="570"/>
      <c r="X155" s="598"/>
    </row>
    <row r="156" spans="1:24">
      <c r="A156" s="594">
        <v>151</v>
      </c>
      <c r="B156" s="567"/>
      <c r="C156" s="598" t="s">
        <v>156</v>
      </c>
      <c r="D156" s="569"/>
      <c r="E156" s="570"/>
      <c r="F156" s="570"/>
      <c r="G156" s="570"/>
      <c r="H156" s="570"/>
      <c r="I156" s="571"/>
      <c r="J156" s="571"/>
      <c r="K156" s="570"/>
      <c r="L156" s="570"/>
      <c r="M156" s="570"/>
      <c r="N156" s="572"/>
      <c r="O156" s="572"/>
      <c r="P156" s="570"/>
      <c r="Q156" s="570"/>
      <c r="R156" s="570"/>
      <c r="S156" s="570"/>
      <c r="T156" s="570"/>
      <c r="U156" s="570"/>
      <c r="V156" s="570"/>
      <c r="W156" s="570"/>
      <c r="X156" s="598"/>
    </row>
    <row r="157" spans="1:24">
      <c r="A157" s="594">
        <v>152</v>
      </c>
      <c r="B157" s="567"/>
      <c r="C157" s="598" t="s">
        <v>156</v>
      </c>
      <c r="D157" s="569"/>
      <c r="E157" s="570"/>
      <c r="F157" s="570"/>
      <c r="G157" s="570"/>
      <c r="H157" s="570"/>
      <c r="I157" s="571"/>
      <c r="J157" s="571"/>
      <c r="K157" s="570"/>
      <c r="L157" s="570"/>
      <c r="M157" s="570"/>
      <c r="N157" s="572"/>
      <c r="O157" s="572"/>
      <c r="P157" s="570"/>
      <c r="Q157" s="570"/>
      <c r="R157" s="570"/>
      <c r="S157" s="570"/>
      <c r="T157" s="570"/>
      <c r="U157" s="570"/>
      <c r="V157" s="570"/>
      <c r="W157" s="570"/>
      <c r="X157" s="598"/>
    </row>
    <row r="158" spans="1:24">
      <c r="A158" s="594">
        <v>153</v>
      </c>
      <c r="B158" s="567"/>
      <c r="C158" s="598" t="s">
        <v>156</v>
      </c>
      <c r="D158" s="569"/>
      <c r="E158" s="570"/>
      <c r="F158" s="570"/>
      <c r="G158" s="570"/>
      <c r="H158" s="570"/>
      <c r="I158" s="571"/>
      <c r="J158" s="571"/>
      <c r="K158" s="570"/>
      <c r="L158" s="570"/>
      <c r="M158" s="570"/>
      <c r="N158" s="572"/>
      <c r="O158" s="572"/>
      <c r="P158" s="570"/>
      <c r="Q158" s="570"/>
      <c r="R158" s="570"/>
      <c r="S158" s="570"/>
      <c r="T158" s="570"/>
      <c r="U158" s="570"/>
      <c r="V158" s="570"/>
      <c r="W158" s="570"/>
      <c r="X158" s="598"/>
    </row>
    <row r="159" spans="1:24">
      <c r="A159" s="594">
        <v>154</v>
      </c>
      <c r="B159" s="567"/>
      <c r="C159" s="598" t="s">
        <v>156</v>
      </c>
      <c r="D159" s="569"/>
      <c r="E159" s="570"/>
      <c r="F159" s="570"/>
      <c r="G159" s="570"/>
      <c r="H159" s="570"/>
      <c r="I159" s="571"/>
      <c r="J159" s="571"/>
      <c r="K159" s="570"/>
      <c r="L159" s="570"/>
      <c r="M159" s="570"/>
      <c r="N159" s="572"/>
      <c r="O159" s="572"/>
      <c r="P159" s="570"/>
      <c r="Q159" s="570"/>
      <c r="R159" s="570"/>
      <c r="S159" s="570"/>
      <c r="T159" s="570"/>
      <c r="U159" s="570"/>
      <c r="V159" s="570"/>
      <c r="W159" s="570"/>
      <c r="X159" s="598"/>
    </row>
    <row r="160" spans="1:24">
      <c r="A160" s="594">
        <v>155</v>
      </c>
      <c r="B160" s="567"/>
      <c r="C160" s="598" t="s">
        <v>156</v>
      </c>
      <c r="D160" s="569"/>
      <c r="E160" s="570"/>
      <c r="F160" s="570"/>
      <c r="G160" s="570"/>
      <c r="H160" s="570"/>
      <c r="I160" s="571"/>
      <c r="J160" s="571"/>
      <c r="K160" s="570"/>
      <c r="L160" s="570"/>
      <c r="M160" s="570"/>
      <c r="N160" s="572"/>
      <c r="O160" s="572"/>
      <c r="P160" s="570"/>
      <c r="Q160" s="570"/>
      <c r="R160" s="570"/>
      <c r="S160" s="570"/>
      <c r="T160" s="570"/>
      <c r="U160" s="570"/>
      <c r="V160" s="570"/>
      <c r="W160" s="570"/>
      <c r="X160" s="598"/>
    </row>
    <row r="161" spans="1:27">
      <c r="A161" s="594">
        <v>156</v>
      </c>
      <c r="B161" s="567"/>
      <c r="C161" s="598" t="s">
        <v>156</v>
      </c>
      <c r="D161" s="569"/>
      <c r="E161" s="570"/>
      <c r="F161" s="570"/>
      <c r="G161" s="570"/>
      <c r="H161" s="570"/>
      <c r="I161" s="571"/>
      <c r="J161" s="571"/>
      <c r="K161" s="570"/>
      <c r="L161" s="570"/>
      <c r="M161" s="570"/>
      <c r="N161" s="572"/>
      <c r="O161" s="572"/>
      <c r="P161" s="570"/>
      <c r="Q161" s="570"/>
      <c r="R161" s="570"/>
      <c r="S161" s="570"/>
      <c r="T161" s="570"/>
      <c r="U161" s="570"/>
      <c r="V161" s="570"/>
      <c r="W161" s="570"/>
      <c r="X161" s="598"/>
    </row>
    <row r="162" spans="1:27">
      <c r="A162" s="594">
        <v>157</v>
      </c>
      <c r="B162" s="567"/>
      <c r="C162" s="598" t="s">
        <v>156</v>
      </c>
      <c r="D162" s="569"/>
      <c r="E162" s="570"/>
      <c r="F162" s="570"/>
      <c r="G162" s="570"/>
      <c r="H162" s="570"/>
      <c r="I162" s="571"/>
      <c r="J162" s="571"/>
      <c r="K162" s="570"/>
      <c r="L162" s="570"/>
      <c r="M162" s="570"/>
      <c r="N162" s="572"/>
      <c r="O162" s="572"/>
      <c r="P162" s="570"/>
      <c r="Q162" s="570"/>
      <c r="R162" s="570"/>
      <c r="S162" s="570"/>
      <c r="T162" s="570"/>
      <c r="U162" s="570"/>
      <c r="V162" s="570"/>
      <c r="W162" s="570"/>
      <c r="X162" s="598"/>
    </row>
    <row r="163" spans="1:27">
      <c r="A163" s="594">
        <v>158</v>
      </c>
      <c r="B163" s="567"/>
      <c r="C163" s="598" t="s">
        <v>156</v>
      </c>
      <c r="D163" s="569"/>
      <c r="E163" s="570"/>
      <c r="F163" s="570"/>
      <c r="G163" s="570"/>
      <c r="H163" s="570"/>
      <c r="I163" s="571"/>
      <c r="J163" s="571"/>
      <c r="K163" s="570"/>
      <c r="L163" s="570"/>
      <c r="M163" s="570"/>
      <c r="N163" s="572"/>
      <c r="O163" s="572"/>
      <c r="P163" s="570"/>
      <c r="Q163" s="570"/>
      <c r="R163" s="570"/>
      <c r="S163" s="570"/>
      <c r="T163" s="570"/>
      <c r="U163" s="570"/>
      <c r="V163" s="570"/>
      <c r="W163" s="570"/>
      <c r="X163" s="598"/>
    </row>
    <row r="164" spans="1:27">
      <c r="A164" s="594">
        <v>159</v>
      </c>
      <c r="B164" s="567"/>
      <c r="C164" s="598" t="s">
        <v>156</v>
      </c>
      <c r="D164" s="569"/>
      <c r="E164" s="570"/>
      <c r="F164" s="570"/>
      <c r="G164" s="570"/>
      <c r="H164" s="570"/>
      <c r="I164" s="571"/>
      <c r="J164" s="571"/>
      <c r="K164" s="570"/>
      <c r="L164" s="570"/>
      <c r="M164" s="570"/>
      <c r="N164" s="572"/>
      <c r="O164" s="572"/>
      <c r="P164" s="570"/>
      <c r="Q164" s="570"/>
      <c r="R164" s="570"/>
      <c r="S164" s="570"/>
      <c r="T164" s="570"/>
      <c r="U164" s="570"/>
      <c r="V164" s="570"/>
      <c r="W164" s="570"/>
      <c r="X164" s="598"/>
    </row>
    <row r="165" spans="1:27">
      <c r="A165" s="594">
        <v>160</v>
      </c>
      <c r="B165" s="567"/>
      <c r="C165" s="598" t="s">
        <v>156</v>
      </c>
      <c r="D165" s="569"/>
      <c r="E165" s="570"/>
      <c r="F165" s="570"/>
      <c r="G165" s="570"/>
      <c r="H165" s="570"/>
      <c r="I165" s="571"/>
      <c r="J165" s="571"/>
      <c r="K165" s="570"/>
      <c r="L165" s="570"/>
      <c r="M165" s="570"/>
      <c r="N165" s="572"/>
      <c r="O165" s="572"/>
      <c r="P165" s="570"/>
      <c r="Q165" s="570"/>
      <c r="R165" s="570"/>
      <c r="S165" s="570"/>
      <c r="T165" s="570"/>
      <c r="U165" s="570"/>
      <c r="V165" s="570"/>
      <c r="W165" s="570"/>
      <c r="X165" s="598"/>
    </row>
    <row r="166" spans="1:27">
      <c r="A166" s="594">
        <v>161</v>
      </c>
      <c r="B166" s="567"/>
      <c r="C166" s="598" t="s">
        <v>156</v>
      </c>
      <c r="D166" s="569"/>
      <c r="E166" s="570"/>
      <c r="F166" s="570"/>
      <c r="G166" s="570"/>
      <c r="H166" s="570"/>
      <c r="I166" s="571"/>
      <c r="J166" s="571"/>
      <c r="K166" s="570"/>
      <c r="L166" s="570"/>
      <c r="M166" s="570"/>
      <c r="N166" s="572"/>
      <c r="O166" s="572"/>
      <c r="P166" s="570"/>
      <c r="Q166" s="570"/>
      <c r="R166" s="570"/>
      <c r="S166" s="570"/>
      <c r="T166" s="570"/>
      <c r="U166" s="570"/>
      <c r="V166" s="570"/>
      <c r="W166" s="570"/>
      <c r="X166" s="598"/>
    </row>
    <row r="167" spans="1:27">
      <c r="A167" s="594">
        <v>162</v>
      </c>
      <c r="B167" s="567"/>
      <c r="C167" s="598" t="s">
        <v>156</v>
      </c>
      <c r="D167" s="569"/>
      <c r="E167" s="570"/>
      <c r="F167" s="570"/>
      <c r="G167" s="570"/>
      <c r="H167" s="570"/>
      <c r="I167" s="571"/>
      <c r="J167" s="571"/>
      <c r="K167" s="570"/>
      <c r="L167" s="570"/>
      <c r="M167" s="570"/>
      <c r="N167" s="572"/>
      <c r="O167" s="572"/>
      <c r="P167" s="570"/>
      <c r="Q167" s="570"/>
      <c r="R167" s="570"/>
      <c r="S167" s="570"/>
      <c r="T167" s="570"/>
      <c r="U167" s="570"/>
      <c r="V167" s="570"/>
      <c r="W167" s="570"/>
      <c r="X167" s="598"/>
    </row>
    <row r="168" spans="1:27">
      <c r="A168" s="594">
        <v>163</v>
      </c>
      <c r="B168" s="567"/>
      <c r="C168" s="598" t="s">
        <v>156</v>
      </c>
      <c r="D168" s="569"/>
      <c r="E168" s="570"/>
      <c r="F168" s="570"/>
      <c r="G168" s="570"/>
      <c r="H168" s="570"/>
      <c r="I168" s="571"/>
      <c r="J168" s="571"/>
      <c r="K168" s="570"/>
      <c r="L168" s="570"/>
      <c r="M168" s="570"/>
      <c r="N168" s="572"/>
      <c r="O168" s="572"/>
      <c r="P168" s="570"/>
      <c r="Q168" s="570"/>
      <c r="R168" s="570"/>
      <c r="S168" s="570"/>
      <c r="T168" s="570"/>
      <c r="U168" s="570"/>
      <c r="V168" s="570"/>
      <c r="W168" s="570"/>
      <c r="X168" s="598"/>
    </row>
    <row r="169" spans="1:27">
      <c r="A169" s="594">
        <v>164</v>
      </c>
      <c r="B169" s="567"/>
      <c r="C169" s="598" t="s">
        <v>156</v>
      </c>
      <c r="D169" s="569"/>
      <c r="E169" s="570"/>
      <c r="F169" s="570"/>
      <c r="G169" s="570"/>
      <c r="H169" s="570"/>
      <c r="I169" s="571"/>
      <c r="J169" s="571"/>
      <c r="K169" s="570"/>
      <c r="L169" s="570"/>
      <c r="M169" s="570"/>
      <c r="N169" s="572"/>
      <c r="O169" s="572"/>
      <c r="P169" s="570"/>
      <c r="Q169" s="570"/>
      <c r="R169" s="570"/>
      <c r="S169" s="570"/>
      <c r="T169" s="570"/>
      <c r="U169" s="570"/>
      <c r="V169" s="570"/>
      <c r="W169" s="570"/>
      <c r="X169" s="599"/>
      <c r="Y169" s="599"/>
      <c r="Z169" s="599"/>
      <c r="AA169" s="599"/>
    </row>
    <row r="170" spans="1:27">
      <c r="A170" s="594">
        <v>165</v>
      </c>
      <c r="B170" s="567"/>
      <c r="C170" s="598" t="s">
        <v>156</v>
      </c>
      <c r="D170" s="569"/>
      <c r="E170" s="570"/>
      <c r="F170" s="570"/>
      <c r="G170" s="570"/>
      <c r="H170" s="570"/>
      <c r="I170" s="571"/>
      <c r="J170" s="571"/>
      <c r="K170" s="570"/>
      <c r="L170" s="570"/>
      <c r="M170" s="570"/>
      <c r="N170" s="572"/>
      <c r="O170" s="572"/>
      <c r="P170" s="570"/>
      <c r="Q170" s="570"/>
      <c r="R170" s="570"/>
      <c r="S170" s="570"/>
      <c r="T170" s="570"/>
      <c r="U170" s="570"/>
      <c r="V170" s="570"/>
      <c r="W170" s="570"/>
      <c r="X170" s="598"/>
    </row>
    <row r="171" spans="1:27">
      <c r="A171" s="594">
        <v>166</v>
      </c>
      <c r="B171" s="567"/>
      <c r="C171" s="598" t="s">
        <v>156</v>
      </c>
      <c r="D171" s="569"/>
      <c r="E171" s="570"/>
      <c r="F171" s="570"/>
      <c r="G171" s="570"/>
      <c r="H171" s="570"/>
      <c r="I171" s="571"/>
      <c r="J171" s="571"/>
      <c r="K171" s="570"/>
      <c r="L171" s="570"/>
      <c r="M171" s="570"/>
      <c r="N171" s="572"/>
      <c r="O171" s="572"/>
      <c r="P171" s="570"/>
      <c r="Q171" s="570"/>
      <c r="R171" s="570"/>
      <c r="S171" s="570"/>
      <c r="T171" s="570"/>
      <c r="U171" s="570"/>
      <c r="V171" s="570"/>
      <c r="W171" s="570"/>
      <c r="X171" s="598"/>
    </row>
    <row r="172" spans="1:27">
      <c r="A172" s="594">
        <v>167</v>
      </c>
      <c r="B172" s="567"/>
      <c r="C172" s="598" t="s">
        <v>156</v>
      </c>
      <c r="D172" s="569"/>
      <c r="E172" s="570"/>
      <c r="F172" s="570"/>
      <c r="G172" s="570"/>
      <c r="H172" s="570"/>
      <c r="I172" s="571"/>
      <c r="J172" s="571"/>
      <c r="K172" s="570"/>
      <c r="L172" s="570"/>
      <c r="M172" s="570"/>
      <c r="N172" s="572"/>
      <c r="O172" s="572"/>
      <c r="P172" s="570"/>
      <c r="Q172" s="570"/>
      <c r="R172" s="570"/>
      <c r="S172" s="570"/>
      <c r="T172" s="570"/>
      <c r="U172" s="570"/>
      <c r="V172" s="570"/>
      <c r="W172" s="570"/>
      <c r="X172" s="598"/>
    </row>
    <row r="173" spans="1:27">
      <c r="A173" s="594">
        <v>168</v>
      </c>
      <c r="B173" s="567"/>
      <c r="C173" s="598" t="s">
        <v>156</v>
      </c>
      <c r="D173" s="569"/>
      <c r="E173" s="570"/>
      <c r="F173" s="570"/>
      <c r="G173" s="570"/>
      <c r="H173" s="570"/>
      <c r="I173" s="571"/>
      <c r="J173" s="571"/>
      <c r="K173" s="570"/>
      <c r="L173" s="570"/>
      <c r="M173" s="570"/>
      <c r="N173" s="572"/>
      <c r="O173" s="572"/>
      <c r="P173" s="570"/>
      <c r="Q173" s="570"/>
      <c r="R173" s="570"/>
      <c r="S173" s="570"/>
      <c r="T173" s="570"/>
      <c r="U173" s="570"/>
      <c r="V173" s="570"/>
      <c r="W173" s="570"/>
      <c r="X173" s="598"/>
    </row>
    <row r="174" spans="1:27">
      <c r="A174" s="594">
        <v>169</v>
      </c>
      <c r="B174" s="567"/>
      <c r="C174" s="598" t="s">
        <v>156</v>
      </c>
      <c r="D174" s="569"/>
      <c r="E174" s="570"/>
      <c r="F174" s="570"/>
      <c r="G174" s="570"/>
      <c r="H174" s="570"/>
      <c r="I174" s="571"/>
      <c r="J174" s="571"/>
      <c r="K174" s="570"/>
      <c r="L174" s="570"/>
      <c r="M174" s="570"/>
      <c r="N174" s="572"/>
      <c r="O174" s="572"/>
      <c r="P174" s="570"/>
      <c r="Q174" s="570"/>
      <c r="R174" s="570"/>
      <c r="S174" s="570"/>
      <c r="T174" s="570"/>
      <c r="U174" s="570"/>
      <c r="V174" s="570"/>
      <c r="W174" s="570"/>
      <c r="X174" s="598"/>
    </row>
    <row r="175" spans="1:27">
      <c r="A175" s="594">
        <v>170</v>
      </c>
      <c r="B175" s="567"/>
      <c r="C175" s="598" t="s">
        <v>156</v>
      </c>
      <c r="D175" s="569"/>
      <c r="E175" s="570"/>
      <c r="F175" s="570"/>
      <c r="G175" s="570"/>
      <c r="H175" s="570"/>
      <c r="I175" s="571"/>
      <c r="J175" s="571"/>
      <c r="K175" s="570"/>
      <c r="L175" s="570"/>
      <c r="M175" s="570"/>
      <c r="N175" s="572"/>
      <c r="O175" s="572"/>
      <c r="P175" s="570"/>
      <c r="Q175" s="570"/>
      <c r="R175" s="570"/>
      <c r="S175" s="570"/>
      <c r="T175" s="570"/>
      <c r="U175" s="570"/>
      <c r="V175" s="570"/>
      <c r="W175" s="570"/>
      <c r="X175" s="598"/>
    </row>
    <row r="176" spans="1:27">
      <c r="A176" s="594">
        <v>171</v>
      </c>
      <c r="B176" s="567"/>
      <c r="C176" s="598" t="s">
        <v>156</v>
      </c>
      <c r="D176" s="569"/>
      <c r="E176" s="570"/>
      <c r="F176" s="570"/>
      <c r="G176" s="570"/>
      <c r="H176" s="570"/>
      <c r="I176" s="571"/>
      <c r="J176" s="571"/>
      <c r="K176" s="570"/>
      <c r="L176" s="570"/>
      <c r="M176" s="570"/>
      <c r="N176" s="572"/>
      <c r="O176" s="572"/>
      <c r="P176" s="570"/>
      <c r="Q176" s="570"/>
      <c r="R176" s="570"/>
      <c r="S176" s="570"/>
      <c r="T176" s="570"/>
      <c r="U176" s="570"/>
      <c r="V176" s="570"/>
      <c r="W176" s="570"/>
      <c r="X176" s="598"/>
    </row>
    <row r="177" spans="1:24">
      <c r="A177" s="594">
        <v>172</v>
      </c>
      <c r="B177" s="567"/>
      <c r="C177" s="598" t="s">
        <v>156</v>
      </c>
      <c r="D177" s="569"/>
      <c r="E177" s="570"/>
      <c r="F177" s="570"/>
      <c r="G177" s="570"/>
      <c r="H177" s="570"/>
      <c r="I177" s="571"/>
      <c r="J177" s="571"/>
      <c r="K177" s="570"/>
      <c r="L177" s="570"/>
      <c r="M177" s="570"/>
      <c r="N177" s="572"/>
      <c r="O177" s="572"/>
      <c r="P177" s="570"/>
      <c r="Q177" s="570"/>
      <c r="R177" s="570"/>
      <c r="S177" s="570"/>
      <c r="T177" s="570"/>
      <c r="U177" s="570"/>
      <c r="V177" s="570"/>
      <c r="W177" s="570"/>
      <c r="X177" s="598"/>
    </row>
    <row r="178" spans="1:24">
      <c r="A178" s="594">
        <v>173</v>
      </c>
      <c r="B178" s="567"/>
      <c r="C178" s="598" t="s">
        <v>156</v>
      </c>
      <c r="D178" s="569"/>
      <c r="E178" s="570"/>
      <c r="F178" s="570"/>
      <c r="G178" s="570"/>
      <c r="H178" s="570"/>
      <c r="I178" s="571"/>
      <c r="J178" s="571"/>
      <c r="K178" s="570"/>
      <c r="L178" s="570"/>
      <c r="M178" s="570"/>
      <c r="N178" s="572"/>
      <c r="O178" s="572"/>
      <c r="P178" s="570"/>
      <c r="Q178" s="570"/>
      <c r="R178" s="570"/>
      <c r="S178" s="570"/>
      <c r="T178" s="570"/>
      <c r="U178" s="570"/>
      <c r="V178" s="570"/>
      <c r="W178" s="570"/>
      <c r="X178" s="598"/>
    </row>
    <row r="179" spans="1:24">
      <c r="A179" s="594">
        <v>174</v>
      </c>
      <c r="B179" s="567"/>
      <c r="C179" s="598" t="s">
        <v>156</v>
      </c>
      <c r="D179" s="569"/>
      <c r="E179" s="570"/>
      <c r="F179" s="570"/>
      <c r="G179" s="570"/>
      <c r="H179" s="570"/>
      <c r="I179" s="571"/>
      <c r="J179" s="571"/>
      <c r="K179" s="570"/>
      <c r="L179" s="570"/>
      <c r="M179" s="570"/>
      <c r="N179" s="572"/>
      <c r="O179" s="572"/>
      <c r="P179" s="570"/>
      <c r="Q179" s="570"/>
      <c r="R179" s="570"/>
      <c r="S179" s="570"/>
      <c r="T179" s="570"/>
      <c r="U179" s="570"/>
      <c r="V179" s="570"/>
      <c r="W179" s="570"/>
      <c r="X179" s="598"/>
    </row>
    <row r="180" spans="1:24">
      <c r="A180" s="594">
        <v>175</v>
      </c>
      <c r="B180" s="567"/>
      <c r="C180" s="598" t="s">
        <v>156</v>
      </c>
      <c r="D180" s="569"/>
      <c r="E180" s="570"/>
      <c r="F180" s="570"/>
      <c r="G180" s="570"/>
      <c r="H180" s="570"/>
      <c r="I180" s="571"/>
      <c r="J180" s="571"/>
      <c r="K180" s="570"/>
      <c r="L180" s="570"/>
      <c r="M180" s="570"/>
      <c r="N180" s="572"/>
      <c r="O180" s="572"/>
      <c r="P180" s="570"/>
      <c r="Q180" s="570"/>
      <c r="R180" s="570"/>
      <c r="S180" s="570"/>
      <c r="T180" s="570"/>
      <c r="U180" s="570"/>
      <c r="V180" s="570"/>
      <c r="W180" s="570"/>
      <c r="X180" s="598"/>
    </row>
    <row r="181" spans="1:24">
      <c r="A181" s="594">
        <v>176</v>
      </c>
      <c r="B181" s="567"/>
      <c r="C181" s="598" t="s">
        <v>156</v>
      </c>
      <c r="D181" s="569"/>
      <c r="E181" s="570"/>
      <c r="F181" s="570"/>
      <c r="G181" s="570"/>
      <c r="H181" s="570"/>
      <c r="I181" s="571"/>
      <c r="J181" s="571"/>
      <c r="K181" s="570"/>
      <c r="L181" s="570"/>
      <c r="M181" s="570"/>
      <c r="N181" s="572"/>
      <c r="O181" s="572"/>
      <c r="P181" s="570"/>
      <c r="Q181" s="570"/>
      <c r="R181" s="570"/>
      <c r="S181" s="570"/>
      <c r="T181" s="570"/>
      <c r="U181" s="570"/>
      <c r="V181" s="570"/>
      <c r="W181" s="570"/>
      <c r="X181" s="598"/>
    </row>
    <row r="182" spans="1:24">
      <c r="A182" s="594">
        <v>177</v>
      </c>
      <c r="B182" s="567"/>
      <c r="C182" s="598" t="s">
        <v>156</v>
      </c>
      <c r="D182" s="569"/>
      <c r="E182" s="570"/>
      <c r="F182" s="570"/>
      <c r="G182" s="570"/>
      <c r="H182" s="570"/>
      <c r="I182" s="571"/>
      <c r="J182" s="571"/>
      <c r="K182" s="570"/>
      <c r="L182" s="570"/>
      <c r="M182" s="570"/>
      <c r="N182" s="572"/>
      <c r="O182" s="572"/>
      <c r="P182" s="570"/>
      <c r="Q182" s="570"/>
      <c r="R182" s="570"/>
      <c r="S182" s="570"/>
      <c r="T182" s="570"/>
      <c r="U182" s="570"/>
      <c r="V182" s="570"/>
      <c r="W182" s="570"/>
      <c r="X182" s="598"/>
    </row>
    <row r="183" spans="1:24">
      <c r="A183" s="594">
        <v>178</v>
      </c>
      <c r="B183" s="567"/>
      <c r="C183" s="598" t="s">
        <v>156</v>
      </c>
      <c r="D183" s="569"/>
      <c r="E183" s="570"/>
      <c r="F183" s="570"/>
      <c r="G183" s="570"/>
      <c r="H183" s="570"/>
      <c r="I183" s="571"/>
      <c r="J183" s="571"/>
      <c r="K183" s="570"/>
      <c r="L183" s="570"/>
      <c r="M183" s="570"/>
      <c r="N183" s="572"/>
      <c r="O183" s="572"/>
      <c r="P183" s="570"/>
      <c r="Q183" s="570"/>
      <c r="R183" s="570"/>
      <c r="S183" s="570"/>
      <c r="T183" s="570"/>
      <c r="U183" s="570"/>
      <c r="V183" s="570"/>
      <c r="W183" s="570"/>
      <c r="X183" s="598"/>
    </row>
    <row r="184" spans="1:24">
      <c r="A184" s="594">
        <v>179</v>
      </c>
      <c r="B184" s="567"/>
      <c r="C184" s="598" t="s">
        <v>156</v>
      </c>
      <c r="D184" s="569"/>
      <c r="E184" s="570"/>
      <c r="F184" s="570"/>
      <c r="G184" s="570"/>
      <c r="H184" s="570"/>
      <c r="I184" s="571"/>
      <c r="J184" s="571"/>
      <c r="K184" s="570"/>
      <c r="L184" s="570"/>
      <c r="M184" s="570"/>
      <c r="N184" s="572"/>
      <c r="O184" s="572"/>
      <c r="P184" s="570"/>
      <c r="Q184" s="570"/>
      <c r="R184" s="570"/>
      <c r="S184" s="570"/>
      <c r="T184" s="570"/>
      <c r="U184" s="570"/>
      <c r="V184" s="570"/>
      <c r="W184" s="570"/>
      <c r="X184" s="598"/>
    </row>
    <row r="185" spans="1:24">
      <c r="A185" s="594">
        <v>180</v>
      </c>
      <c r="B185" s="567"/>
      <c r="C185" s="598" t="s">
        <v>156</v>
      </c>
      <c r="D185" s="569"/>
      <c r="E185" s="570"/>
      <c r="F185" s="570"/>
      <c r="G185" s="570"/>
      <c r="H185" s="570"/>
      <c r="I185" s="571"/>
      <c r="J185" s="571"/>
      <c r="K185" s="570"/>
      <c r="L185" s="570"/>
      <c r="M185" s="570"/>
      <c r="N185" s="572"/>
      <c r="O185" s="572"/>
      <c r="P185" s="570"/>
      <c r="Q185" s="570"/>
      <c r="R185" s="570"/>
      <c r="S185" s="570"/>
      <c r="T185" s="570"/>
      <c r="U185" s="570"/>
      <c r="V185" s="570"/>
      <c r="W185" s="570"/>
      <c r="X185" s="598"/>
    </row>
    <row r="186" spans="1:24">
      <c r="A186" s="594">
        <v>181</v>
      </c>
      <c r="B186" s="567"/>
      <c r="C186" s="598" t="s">
        <v>156</v>
      </c>
      <c r="D186" s="569"/>
      <c r="E186" s="570"/>
      <c r="F186" s="570"/>
      <c r="G186" s="570"/>
      <c r="H186" s="570"/>
      <c r="I186" s="571"/>
      <c r="J186" s="571"/>
      <c r="K186" s="570"/>
      <c r="L186" s="570"/>
      <c r="M186" s="570"/>
      <c r="N186" s="572"/>
      <c r="O186" s="572"/>
      <c r="P186" s="570"/>
      <c r="Q186" s="570"/>
      <c r="R186" s="570"/>
      <c r="S186" s="570"/>
      <c r="T186" s="570"/>
      <c r="U186" s="570"/>
      <c r="V186" s="570"/>
      <c r="W186" s="570"/>
      <c r="X186" s="598"/>
    </row>
    <row r="187" spans="1:24">
      <c r="A187" s="594">
        <v>182</v>
      </c>
      <c r="B187" s="567"/>
      <c r="C187" s="598" t="s">
        <v>156</v>
      </c>
      <c r="D187" s="569"/>
      <c r="E187" s="570"/>
      <c r="F187" s="570"/>
      <c r="G187" s="570"/>
      <c r="H187" s="570"/>
      <c r="I187" s="571"/>
      <c r="J187" s="571"/>
      <c r="K187" s="570"/>
      <c r="L187" s="570"/>
      <c r="M187" s="570"/>
      <c r="N187" s="572"/>
      <c r="O187" s="572"/>
      <c r="P187" s="570"/>
      <c r="Q187" s="570"/>
      <c r="R187" s="570"/>
      <c r="S187" s="570"/>
      <c r="T187" s="570"/>
      <c r="U187" s="570"/>
      <c r="V187" s="570"/>
      <c r="W187" s="570"/>
      <c r="X187" s="598"/>
    </row>
    <row r="188" spans="1:24">
      <c r="A188" s="594">
        <v>183</v>
      </c>
      <c r="B188" s="567"/>
      <c r="C188" s="598" t="s">
        <v>156</v>
      </c>
      <c r="D188" s="569"/>
      <c r="E188" s="570"/>
      <c r="F188" s="570"/>
      <c r="G188" s="570"/>
      <c r="H188" s="570"/>
      <c r="I188" s="571"/>
      <c r="J188" s="571"/>
      <c r="K188" s="570"/>
      <c r="L188" s="570"/>
      <c r="M188" s="570"/>
      <c r="N188" s="572"/>
      <c r="O188" s="572"/>
      <c r="P188" s="570"/>
      <c r="Q188" s="570"/>
      <c r="R188" s="570"/>
      <c r="S188" s="570"/>
      <c r="T188" s="570"/>
      <c r="U188" s="570"/>
      <c r="V188" s="570"/>
      <c r="W188" s="570"/>
      <c r="X188" s="598"/>
    </row>
    <row r="189" spans="1:24">
      <c r="A189" s="594">
        <v>184</v>
      </c>
      <c r="B189" s="567"/>
      <c r="C189" s="598" t="s">
        <v>156</v>
      </c>
      <c r="D189" s="573"/>
      <c r="E189" s="570"/>
      <c r="F189" s="570"/>
      <c r="G189" s="570"/>
      <c r="H189" s="570"/>
      <c r="I189" s="571"/>
      <c r="J189" s="571"/>
      <c r="K189" s="570"/>
      <c r="L189" s="570"/>
      <c r="M189" s="570"/>
      <c r="N189" s="572"/>
      <c r="O189" s="572"/>
      <c r="P189" s="570"/>
      <c r="Q189" s="570"/>
      <c r="R189" s="570"/>
      <c r="S189" s="570"/>
      <c r="T189" s="570"/>
      <c r="U189" s="570"/>
      <c r="V189" s="570"/>
      <c r="W189" s="570"/>
      <c r="X189" s="598"/>
    </row>
    <row r="190" spans="1:24">
      <c r="A190" s="594">
        <v>185</v>
      </c>
      <c r="B190" s="567"/>
      <c r="C190" s="598" t="s">
        <v>156</v>
      </c>
      <c r="D190" s="569"/>
      <c r="E190" s="570"/>
      <c r="F190" s="570"/>
      <c r="G190" s="570"/>
      <c r="H190" s="570"/>
      <c r="I190" s="571"/>
      <c r="J190" s="571"/>
      <c r="K190" s="570"/>
      <c r="L190" s="570"/>
      <c r="M190" s="570"/>
      <c r="N190" s="572"/>
      <c r="O190" s="572"/>
      <c r="P190" s="570"/>
      <c r="Q190" s="570"/>
      <c r="R190" s="570"/>
      <c r="S190" s="570"/>
      <c r="T190" s="570"/>
      <c r="U190" s="570"/>
      <c r="V190" s="570"/>
      <c r="W190" s="570"/>
      <c r="X190" s="598"/>
    </row>
    <row r="191" spans="1:24">
      <c r="A191" s="594">
        <v>186</v>
      </c>
      <c r="B191" s="567"/>
      <c r="C191" s="598" t="s">
        <v>156</v>
      </c>
      <c r="D191" s="569"/>
      <c r="E191" s="570"/>
      <c r="F191" s="570"/>
      <c r="G191" s="570"/>
      <c r="H191" s="570"/>
      <c r="I191" s="571"/>
      <c r="J191" s="571"/>
      <c r="K191" s="570"/>
      <c r="L191" s="570"/>
      <c r="M191" s="570"/>
      <c r="N191" s="572"/>
      <c r="O191" s="572"/>
      <c r="P191" s="570"/>
      <c r="Q191" s="570"/>
      <c r="R191" s="570"/>
      <c r="S191" s="570"/>
      <c r="T191" s="570"/>
      <c r="U191" s="570"/>
      <c r="V191" s="570"/>
      <c r="W191" s="570"/>
      <c r="X191" s="598"/>
    </row>
    <row r="192" spans="1:24">
      <c r="A192" s="594">
        <v>187</v>
      </c>
      <c r="B192" s="567"/>
      <c r="C192" s="598" t="s">
        <v>156</v>
      </c>
      <c r="D192" s="569"/>
      <c r="E192" s="570"/>
      <c r="F192" s="570"/>
      <c r="G192" s="570"/>
      <c r="H192" s="570"/>
      <c r="I192" s="571"/>
      <c r="J192" s="571"/>
      <c r="K192" s="570"/>
      <c r="L192" s="570"/>
      <c r="M192" s="570"/>
      <c r="N192" s="572"/>
      <c r="O192" s="572"/>
      <c r="P192" s="570"/>
      <c r="Q192" s="570"/>
      <c r="R192" s="570"/>
      <c r="S192" s="570"/>
      <c r="T192" s="570"/>
      <c r="U192" s="570"/>
      <c r="V192" s="570"/>
      <c r="W192" s="570"/>
      <c r="X192" s="598"/>
    </row>
    <row r="193" spans="1:24">
      <c r="A193" s="594">
        <v>188</v>
      </c>
      <c r="B193" s="567"/>
      <c r="C193" s="598" t="s">
        <v>156</v>
      </c>
      <c r="D193" s="569"/>
      <c r="E193" s="570"/>
      <c r="F193" s="570"/>
      <c r="G193" s="570"/>
      <c r="H193" s="570"/>
      <c r="I193" s="571"/>
      <c r="J193" s="571"/>
      <c r="K193" s="570"/>
      <c r="L193" s="570"/>
      <c r="M193" s="570"/>
      <c r="N193" s="572"/>
      <c r="O193" s="572"/>
      <c r="P193" s="570"/>
      <c r="Q193" s="570"/>
      <c r="R193" s="570"/>
      <c r="S193" s="570"/>
      <c r="T193" s="570"/>
      <c r="U193" s="570"/>
      <c r="V193" s="570"/>
      <c r="W193" s="570"/>
      <c r="X193" s="598"/>
    </row>
    <row r="194" spans="1:24">
      <c r="A194" s="594">
        <v>189</v>
      </c>
      <c r="B194" s="567"/>
      <c r="C194" s="598" t="s">
        <v>156</v>
      </c>
      <c r="D194" s="569"/>
      <c r="E194" s="570"/>
      <c r="F194" s="570"/>
      <c r="G194" s="570"/>
      <c r="H194" s="570"/>
      <c r="I194" s="571"/>
      <c r="J194" s="571"/>
      <c r="K194" s="570"/>
      <c r="L194" s="570"/>
      <c r="M194" s="570"/>
      <c r="N194" s="572"/>
      <c r="O194" s="572"/>
      <c r="P194" s="570"/>
      <c r="Q194" s="570"/>
      <c r="R194" s="570"/>
      <c r="S194" s="570"/>
      <c r="T194" s="570"/>
      <c r="U194" s="570"/>
      <c r="V194" s="570"/>
      <c r="W194" s="570"/>
      <c r="X194" s="598"/>
    </row>
    <row r="195" spans="1:24">
      <c r="A195" s="594">
        <v>190</v>
      </c>
      <c r="B195" s="567"/>
      <c r="C195" s="598" t="s">
        <v>156</v>
      </c>
      <c r="D195" s="569"/>
      <c r="E195" s="570"/>
      <c r="F195" s="570"/>
      <c r="G195" s="570"/>
      <c r="H195" s="570"/>
      <c r="I195" s="571"/>
      <c r="J195" s="571"/>
      <c r="K195" s="570"/>
      <c r="L195" s="570"/>
      <c r="M195" s="570"/>
      <c r="N195" s="572"/>
      <c r="O195" s="572"/>
      <c r="P195" s="570"/>
      <c r="Q195" s="570"/>
      <c r="R195" s="570"/>
      <c r="S195" s="570"/>
      <c r="T195" s="570"/>
      <c r="U195" s="570"/>
      <c r="V195" s="570"/>
      <c r="W195" s="570"/>
      <c r="X195" s="598"/>
    </row>
    <row r="196" spans="1:24">
      <c r="A196" s="594">
        <v>191</v>
      </c>
      <c r="B196" s="567"/>
      <c r="C196" s="598" t="s">
        <v>156</v>
      </c>
      <c r="D196" s="569"/>
      <c r="E196" s="570"/>
      <c r="F196" s="570"/>
      <c r="G196" s="570"/>
      <c r="H196" s="570"/>
      <c r="I196" s="571"/>
      <c r="J196" s="571"/>
      <c r="K196" s="570"/>
      <c r="L196" s="570"/>
      <c r="M196" s="570"/>
      <c r="N196" s="572"/>
      <c r="O196" s="572"/>
      <c r="P196" s="570"/>
      <c r="Q196" s="570"/>
      <c r="R196" s="570"/>
      <c r="S196" s="570"/>
      <c r="T196" s="570"/>
      <c r="U196" s="570"/>
      <c r="V196" s="570"/>
      <c r="W196" s="570"/>
      <c r="X196" s="598"/>
    </row>
    <row r="197" spans="1:24">
      <c r="A197" s="594">
        <v>192</v>
      </c>
      <c r="B197" s="567"/>
      <c r="C197" s="598" t="s">
        <v>156</v>
      </c>
      <c r="D197" s="569"/>
      <c r="E197" s="570"/>
      <c r="F197" s="570"/>
      <c r="G197" s="570"/>
      <c r="H197" s="570"/>
      <c r="I197" s="571"/>
      <c r="J197" s="571"/>
      <c r="K197" s="570"/>
      <c r="L197" s="570"/>
      <c r="M197" s="570"/>
      <c r="N197" s="572"/>
      <c r="O197" s="572"/>
      <c r="P197" s="570"/>
      <c r="Q197" s="570"/>
      <c r="R197" s="570"/>
      <c r="S197" s="570"/>
      <c r="T197" s="570"/>
      <c r="U197" s="570"/>
      <c r="V197" s="570"/>
      <c r="W197" s="570"/>
      <c r="X197" s="598"/>
    </row>
    <row r="198" spans="1:24">
      <c r="A198" s="594">
        <v>193</v>
      </c>
      <c r="B198" s="567"/>
      <c r="C198" s="598" t="s">
        <v>156</v>
      </c>
      <c r="D198" s="569"/>
      <c r="E198" s="570"/>
      <c r="F198" s="570"/>
      <c r="G198" s="570"/>
      <c r="H198" s="570"/>
      <c r="I198" s="571"/>
      <c r="J198" s="571"/>
      <c r="K198" s="570"/>
      <c r="L198" s="570"/>
      <c r="M198" s="570"/>
      <c r="N198" s="572"/>
      <c r="O198" s="572"/>
      <c r="P198" s="570"/>
      <c r="Q198" s="570"/>
      <c r="R198" s="570"/>
      <c r="S198" s="570"/>
      <c r="T198" s="570"/>
      <c r="U198" s="570"/>
      <c r="V198" s="570"/>
      <c r="W198" s="570"/>
      <c r="X198" s="598"/>
    </row>
    <row r="199" spans="1:24">
      <c r="A199" s="594">
        <v>194</v>
      </c>
      <c r="B199" s="567"/>
      <c r="C199" s="598" t="s">
        <v>156</v>
      </c>
      <c r="D199" s="569"/>
      <c r="E199" s="570"/>
      <c r="F199" s="570"/>
      <c r="G199" s="570"/>
      <c r="H199" s="570"/>
      <c r="I199" s="571"/>
      <c r="J199" s="571"/>
      <c r="K199" s="570"/>
      <c r="L199" s="570"/>
      <c r="M199" s="570"/>
      <c r="N199" s="572"/>
      <c r="O199" s="572"/>
      <c r="P199" s="570"/>
      <c r="Q199" s="570"/>
      <c r="R199" s="570"/>
      <c r="S199" s="570"/>
      <c r="T199" s="570"/>
      <c r="U199" s="570"/>
      <c r="V199" s="570"/>
      <c r="W199" s="570"/>
      <c r="X199" s="598"/>
    </row>
    <row r="200" spans="1:24">
      <c r="A200" s="594">
        <v>195</v>
      </c>
      <c r="B200" s="567"/>
      <c r="C200" s="598" t="s">
        <v>156</v>
      </c>
      <c r="D200" s="569"/>
      <c r="E200" s="570"/>
      <c r="F200" s="570"/>
      <c r="G200" s="570"/>
      <c r="H200" s="570"/>
      <c r="I200" s="571"/>
      <c r="J200" s="571"/>
      <c r="K200" s="570"/>
      <c r="L200" s="570"/>
      <c r="M200" s="570"/>
      <c r="N200" s="572"/>
      <c r="O200" s="572"/>
      <c r="P200" s="570"/>
      <c r="Q200" s="570"/>
      <c r="R200" s="570"/>
      <c r="S200" s="570"/>
      <c r="T200" s="570"/>
      <c r="U200" s="570"/>
      <c r="V200" s="570"/>
      <c r="W200" s="570"/>
      <c r="X200" s="598"/>
    </row>
    <row r="201" spans="1:24">
      <c r="A201" s="594">
        <v>196</v>
      </c>
      <c r="B201" s="567"/>
      <c r="C201" s="598" t="s">
        <v>156</v>
      </c>
      <c r="D201" s="569"/>
      <c r="E201" s="570"/>
      <c r="F201" s="570"/>
      <c r="G201" s="570"/>
      <c r="H201" s="570"/>
      <c r="I201" s="571"/>
      <c r="J201" s="571"/>
      <c r="K201" s="570"/>
      <c r="L201" s="570"/>
      <c r="M201" s="570"/>
      <c r="N201" s="572"/>
      <c r="O201" s="572"/>
      <c r="P201" s="570"/>
      <c r="Q201" s="570"/>
      <c r="R201" s="570"/>
      <c r="S201" s="570"/>
      <c r="T201" s="570"/>
      <c r="U201" s="570"/>
      <c r="V201" s="570"/>
      <c r="W201" s="570"/>
      <c r="X201" s="598"/>
    </row>
    <row r="202" spans="1:24">
      <c r="A202" s="594">
        <v>197</v>
      </c>
      <c r="B202" s="567"/>
      <c r="C202" s="598" t="s">
        <v>156</v>
      </c>
      <c r="D202" s="569"/>
      <c r="E202" s="570"/>
      <c r="F202" s="570"/>
      <c r="G202" s="570"/>
      <c r="H202" s="570"/>
      <c r="I202" s="571"/>
      <c r="J202" s="571"/>
      <c r="K202" s="570"/>
      <c r="L202" s="570"/>
      <c r="M202" s="570"/>
      <c r="N202" s="572"/>
      <c r="O202" s="572"/>
      <c r="P202" s="570"/>
      <c r="Q202" s="570"/>
      <c r="R202" s="570"/>
      <c r="S202" s="570"/>
      <c r="T202" s="570"/>
      <c r="U202" s="570"/>
      <c r="V202" s="570"/>
      <c r="W202" s="570"/>
      <c r="X202" s="598"/>
    </row>
    <row r="203" spans="1:24">
      <c r="A203" s="594">
        <v>198</v>
      </c>
      <c r="B203" s="567"/>
      <c r="C203" s="598" t="s">
        <v>156</v>
      </c>
      <c r="D203" s="569"/>
      <c r="E203" s="570"/>
      <c r="F203" s="570"/>
      <c r="G203" s="570"/>
      <c r="H203" s="570"/>
      <c r="I203" s="571"/>
      <c r="J203" s="571"/>
      <c r="K203" s="570"/>
      <c r="L203" s="570"/>
      <c r="M203" s="570"/>
      <c r="N203" s="572"/>
      <c r="O203" s="572"/>
      <c r="P203" s="570"/>
      <c r="Q203" s="570"/>
      <c r="R203" s="570"/>
      <c r="S203" s="570"/>
      <c r="T203" s="570"/>
      <c r="U203" s="570"/>
      <c r="V203" s="570"/>
      <c r="W203" s="570"/>
      <c r="X203" s="598"/>
    </row>
    <row r="204" spans="1:24">
      <c r="A204" s="594">
        <v>199</v>
      </c>
      <c r="B204" s="567"/>
      <c r="C204" s="598" t="s">
        <v>156</v>
      </c>
      <c r="D204" s="569"/>
      <c r="E204" s="570"/>
      <c r="F204" s="570"/>
      <c r="G204" s="570"/>
      <c r="H204" s="570"/>
      <c r="I204" s="571"/>
      <c r="J204" s="571"/>
      <c r="K204" s="570"/>
      <c r="L204" s="570"/>
      <c r="M204" s="570"/>
      <c r="N204" s="572"/>
      <c r="O204" s="572"/>
      <c r="P204" s="570"/>
      <c r="Q204" s="570"/>
      <c r="R204" s="570"/>
      <c r="S204" s="570"/>
      <c r="T204" s="570"/>
      <c r="U204" s="570"/>
      <c r="V204" s="570"/>
      <c r="W204" s="570"/>
      <c r="X204" s="598"/>
    </row>
    <row r="205" spans="1:24">
      <c r="A205" s="594">
        <v>200</v>
      </c>
      <c r="B205" s="567"/>
      <c r="C205" s="598" t="s">
        <v>156</v>
      </c>
      <c r="D205" s="569"/>
      <c r="E205" s="570"/>
      <c r="F205" s="570"/>
      <c r="G205" s="570"/>
      <c r="H205" s="570"/>
      <c r="I205" s="571"/>
      <c r="J205" s="571"/>
      <c r="K205" s="570"/>
      <c r="L205" s="570"/>
      <c r="M205" s="570"/>
      <c r="N205" s="572"/>
      <c r="O205" s="572"/>
      <c r="P205" s="570"/>
      <c r="Q205" s="570"/>
      <c r="R205" s="570"/>
      <c r="S205" s="570"/>
      <c r="T205" s="570"/>
      <c r="U205" s="570"/>
      <c r="V205" s="570"/>
      <c r="W205" s="570"/>
      <c r="X205" s="598"/>
    </row>
    <row r="206" spans="1:24">
      <c r="A206" s="594">
        <v>201</v>
      </c>
      <c r="B206" s="567"/>
      <c r="C206" s="598" t="s">
        <v>156</v>
      </c>
      <c r="D206" s="569"/>
      <c r="E206" s="570"/>
      <c r="F206" s="570"/>
      <c r="G206" s="570"/>
      <c r="H206" s="570"/>
      <c r="I206" s="571"/>
      <c r="J206" s="571"/>
      <c r="K206" s="570"/>
      <c r="L206" s="570"/>
      <c r="M206" s="570"/>
      <c r="N206" s="572"/>
      <c r="O206" s="572"/>
      <c r="P206" s="570"/>
      <c r="Q206" s="570"/>
      <c r="R206" s="570"/>
      <c r="S206" s="570"/>
      <c r="T206" s="570"/>
      <c r="U206" s="570"/>
      <c r="V206" s="570"/>
      <c r="W206" s="570"/>
      <c r="X206" s="598"/>
    </row>
    <row r="207" spans="1:24">
      <c r="A207" s="594">
        <v>202</v>
      </c>
      <c r="B207" s="567"/>
      <c r="C207" s="598" t="s">
        <v>156</v>
      </c>
      <c r="D207" s="569"/>
      <c r="E207" s="570"/>
      <c r="F207" s="570"/>
      <c r="G207" s="570"/>
      <c r="H207" s="570"/>
      <c r="I207" s="571"/>
      <c r="J207" s="571"/>
      <c r="K207" s="570"/>
      <c r="L207" s="570"/>
      <c r="M207" s="570"/>
      <c r="N207" s="572"/>
      <c r="O207" s="572"/>
      <c r="P207" s="570"/>
      <c r="Q207" s="570"/>
      <c r="R207" s="570"/>
      <c r="S207" s="570"/>
      <c r="T207" s="570"/>
      <c r="U207" s="570"/>
      <c r="V207" s="570"/>
      <c r="W207" s="570"/>
      <c r="X207" s="598"/>
    </row>
    <row r="208" spans="1:24">
      <c r="A208" s="594">
        <v>203</v>
      </c>
      <c r="B208" s="567"/>
      <c r="C208" s="598" t="s">
        <v>156</v>
      </c>
      <c r="D208" s="569"/>
      <c r="E208" s="570"/>
      <c r="F208" s="570"/>
      <c r="G208" s="570"/>
      <c r="H208" s="570"/>
      <c r="I208" s="571"/>
      <c r="J208" s="571"/>
      <c r="K208" s="570"/>
      <c r="L208" s="570"/>
      <c r="M208" s="570"/>
      <c r="N208" s="572"/>
      <c r="O208" s="572"/>
      <c r="P208" s="570"/>
      <c r="Q208" s="570"/>
      <c r="R208" s="570"/>
      <c r="S208" s="570"/>
      <c r="T208" s="570"/>
      <c r="U208" s="570"/>
      <c r="V208" s="570"/>
      <c r="W208" s="570"/>
      <c r="X208" s="598"/>
    </row>
    <row r="209" spans="1:24">
      <c r="A209" s="594">
        <v>204</v>
      </c>
      <c r="B209" s="567"/>
      <c r="C209" s="598" t="s">
        <v>156</v>
      </c>
      <c r="D209" s="569"/>
      <c r="E209" s="570"/>
      <c r="F209" s="570"/>
      <c r="G209" s="570"/>
      <c r="H209" s="570"/>
      <c r="I209" s="571"/>
      <c r="J209" s="571"/>
      <c r="K209" s="570"/>
      <c r="L209" s="570"/>
      <c r="M209" s="570"/>
      <c r="N209" s="572"/>
      <c r="O209" s="572"/>
      <c r="P209" s="570"/>
      <c r="Q209" s="570"/>
      <c r="R209" s="570"/>
      <c r="S209" s="570"/>
      <c r="T209" s="570"/>
      <c r="U209" s="570"/>
      <c r="V209" s="570"/>
      <c r="W209" s="570"/>
      <c r="X209" s="598"/>
    </row>
    <row r="210" spans="1:24">
      <c r="A210" s="594">
        <v>205</v>
      </c>
      <c r="B210" s="567"/>
      <c r="C210" s="598" t="s">
        <v>156</v>
      </c>
      <c r="D210" s="569"/>
      <c r="E210" s="570"/>
      <c r="F210" s="570"/>
      <c r="G210" s="570"/>
      <c r="H210" s="570"/>
      <c r="I210" s="571"/>
      <c r="J210" s="571"/>
      <c r="K210" s="570"/>
      <c r="L210" s="570"/>
      <c r="M210" s="570"/>
      <c r="N210" s="572"/>
      <c r="O210" s="572"/>
      <c r="P210" s="570"/>
      <c r="Q210" s="570"/>
      <c r="R210" s="570"/>
      <c r="S210" s="570"/>
      <c r="T210" s="570"/>
      <c r="U210" s="570"/>
      <c r="V210" s="570"/>
      <c r="W210" s="570"/>
      <c r="X210" s="598"/>
    </row>
    <row r="211" spans="1:24">
      <c r="A211" s="594">
        <v>206</v>
      </c>
      <c r="B211" s="567"/>
      <c r="C211" s="598" t="s">
        <v>156</v>
      </c>
      <c r="D211" s="569"/>
      <c r="E211" s="570"/>
      <c r="F211" s="570"/>
      <c r="G211" s="570"/>
      <c r="H211" s="570"/>
      <c r="I211" s="571"/>
      <c r="J211" s="571"/>
      <c r="K211" s="570"/>
      <c r="L211" s="570"/>
      <c r="M211" s="570"/>
      <c r="N211" s="572"/>
      <c r="O211" s="572"/>
      <c r="P211" s="570"/>
      <c r="Q211" s="570"/>
      <c r="R211" s="570"/>
      <c r="S211" s="570"/>
      <c r="T211" s="570"/>
      <c r="U211" s="570"/>
      <c r="V211" s="570"/>
      <c r="W211" s="570"/>
      <c r="X211" s="598"/>
    </row>
    <row r="212" spans="1:24">
      <c r="A212" s="594">
        <v>207</v>
      </c>
      <c r="B212" s="567"/>
      <c r="C212" s="598" t="s">
        <v>156</v>
      </c>
      <c r="D212" s="569"/>
      <c r="E212" s="570"/>
      <c r="F212" s="570"/>
      <c r="G212" s="570"/>
      <c r="H212" s="570"/>
      <c r="I212" s="571"/>
      <c r="J212" s="571"/>
      <c r="K212" s="570"/>
      <c r="L212" s="570"/>
      <c r="M212" s="570"/>
      <c r="N212" s="572"/>
      <c r="O212" s="572"/>
      <c r="P212" s="570"/>
      <c r="Q212" s="570"/>
      <c r="R212" s="570"/>
      <c r="S212" s="570"/>
      <c r="T212" s="570"/>
      <c r="U212" s="570"/>
      <c r="V212" s="570"/>
      <c r="W212" s="570"/>
      <c r="X212" s="598"/>
    </row>
    <row r="213" spans="1:24">
      <c r="A213" s="594">
        <v>208</v>
      </c>
      <c r="B213" s="567"/>
      <c r="C213" s="598" t="s">
        <v>156</v>
      </c>
      <c r="D213" s="569"/>
      <c r="E213" s="570"/>
      <c r="F213" s="570"/>
      <c r="G213" s="570"/>
      <c r="H213" s="570"/>
      <c r="I213" s="571"/>
      <c r="J213" s="571"/>
      <c r="K213" s="570"/>
      <c r="L213" s="570"/>
      <c r="M213" s="570"/>
      <c r="N213" s="572"/>
      <c r="O213" s="572"/>
      <c r="P213" s="570"/>
      <c r="Q213" s="570"/>
      <c r="R213" s="570"/>
      <c r="S213" s="570"/>
      <c r="T213" s="570"/>
      <c r="U213" s="570"/>
      <c r="V213" s="570"/>
      <c r="W213" s="570"/>
      <c r="X213" s="598"/>
    </row>
    <row r="214" spans="1:24">
      <c r="A214" s="594">
        <v>209</v>
      </c>
      <c r="B214" s="567"/>
      <c r="C214" s="598" t="s">
        <v>156</v>
      </c>
      <c r="D214" s="569"/>
      <c r="E214" s="570"/>
      <c r="F214" s="570"/>
      <c r="G214" s="570"/>
      <c r="H214" s="570"/>
      <c r="I214" s="571"/>
      <c r="J214" s="571"/>
      <c r="K214" s="570"/>
      <c r="L214" s="570"/>
      <c r="M214" s="570"/>
      <c r="N214" s="572"/>
      <c r="O214" s="572"/>
      <c r="P214" s="570"/>
      <c r="Q214" s="570"/>
      <c r="R214" s="570"/>
      <c r="S214" s="570"/>
      <c r="T214" s="570"/>
      <c r="U214" s="570"/>
      <c r="V214" s="570"/>
      <c r="W214" s="570"/>
      <c r="X214" s="598"/>
    </row>
    <row r="215" spans="1:24">
      <c r="A215" s="594">
        <v>210</v>
      </c>
      <c r="B215" s="567"/>
      <c r="C215" s="598" t="s">
        <v>156</v>
      </c>
      <c r="D215" s="569"/>
      <c r="E215" s="570"/>
      <c r="F215" s="570"/>
      <c r="G215" s="570"/>
      <c r="H215" s="570"/>
      <c r="I215" s="571"/>
      <c r="J215" s="571"/>
      <c r="K215" s="570"/>
      <c r="L215" s="570"/>
      <c r="M215" s="570"/>
      <c r="N215" s="572"/>
      <c r="O215" s="572"/>
      <c r="P215" s="570"/>
      <c r="Q215" s="570"/>
      <c r="R215" s="570"/>
      <c r="S215" s="570"/>
      <c r="T215" s="570"/>
      <c r="U215" s="570"/>
      <c r="V215" s="570"/>
      <c r="W215" s="570"/>
      <c r="X215" s="598"/>
    </row>
    <row r="216" spans="1:24">
      <c r="A216" s="594">
        <v>211</v>
      </c>
      <c r="B216" s="567"/>
      <c r="C216" s="598" t="s">
        <v>156</v>
      </c>
      <c r="D216" s="569"/>
      <c r="E216" s="570"/>
      <c r="F216" s="570"/>
      <c r="G216" s="570"/>
      <c r="H216" s="570"/>
      <c r="I216" s="571"/>
      <c r="J216" s="571"/>
      <c r="K216" s="570"/>
      <c r="L216" s="570"/>
      <c r="M216" s="570"/>
      <c r="N216" s="572"/>
      <c r="O216" s="572"/>
      <c r="P216" s="570"/>
      <c r="Q216" s="570"/>
      <c r="R216" s="570"/>
      <c r="S216" s="570"/>
      <c r="T216" s="570"/>
      <c r="U216" s="570"/>
      <c r="V216" s="570"/>
      <c r="W216" s="570"/>
      <c r="X216" s="598"/>
    </row>
    <row r="217" spans="1:24">
      <c r="A217" s="594">
        <v>212</v>
      </c>
      <c r="B217" s="567"/>
      <c r="C217" s="598" t="s">
        <v>156</v>
      </c>
      <c r="D217" s="569"/>
      <c r="E217" s="570"/>
      <c r="F217" s="570"/>
      <c r="G217" s="570"/>
      <c r="H217" s="570"/>
      <c r="I217" s="571"/>
      <c r="J217" s="571"/>
      <c r="K217" s="570"/>
      <c r="L217" s="570"/>
      <c r="M217" s="570"/>
      <c r="N217" s="572"/>
      <c r="O217" s="572"/>
      <c r="P217" s="570"/>
      <c r="Q217" s="570"/>
      <c r="R217" s="570"/>
      <c r="S217" s="570"/>
      <c r="T217" s="570"/>
      <c r="U217" s="570"/>
      <c r="V217" s="570"/>
      <c r="W217" s="570"/>
      <c r="X217" s="598"/>
    </row>
    <row r="218" spans="1:24">
      <c r="A218" s="594">
        <v>213</v>
      </c>
      <c r="B218" s="567"/>
      <c r="C218" s="598" t="s">
        <v>156</v>
      </c>
      <c r="D218" s="569"/>
      <c r="E218" s="570"/>
      <c r="F218" s="570"/>
      <c r="G218" s="570"/>
      <c r="H218" s="570"/>
      <c r="I218" s="571"/>
      <c r="J218" s="571"/>
      <c r="K218" s="570"/>
      <c r="L218" s="570"/>
      <c r="M218" s="570"/>
      <c r="N218" s="572"/>
      <c r="O218" s="572"/>
      <c r="P218" s="570"/>
      <c r="Q218" s="570"/>
      <c r="R218" s="570"/>
      <c r="S218" s="570"/>
      <c r="T218" s="570"/>
      <c r="U218" s="570"/>
      <c r="V218" s="570"/>
      <c r="W218" s="570"/>
      <c r="X218" s="598"/>
    </row>
    <row r="219" spans="1:24">
      <c r="A219" s="594">
        <v>214</v>
      </c>
      <c r="B219" s="567"/>
      <c r="C219" s="598" t="s">
        <v>156</v>
      </c>
      <c r="D219" s="569"/>
      <c r="E219" s="570"/>
      <c r="F219" s="570"/>
      <c r="G219" s="570"/>
      <c r="H219" s="570"/>
      <c r="I219" s="571"/>
      <c r="J219" s="571"/>
      <c r="K219" s="570"/>
      <c r="L219" s="570"/>
      <c r="M219" s="570"/>
      <c r="N219" s="572"/>
      <c r="O219" s="572"/>
      <c r="P219" s="570"/>
      <c r="Q219" s="570"/>
      <c r="R219" s="570"/>
      <c r="S219" s="570"/>
      <c r="T219" s="570"/>
      <c r="U219" s="570"/>
      <c r="V219" s="570"/>
      <c r="W219" s="570"/>
      <c r="X219" s="598"/>
    </row>
    <row r="220" spans="1:24">
      <c r="A220" s="594">
        <v>215</v>
      </c>
      <c r="B220" s="567"/>
      <c r="C220" s="598" t="s">
        <v>156</v>
      </c>
      <c r="D220" s="569"/>
      <c r="E220" s="570"/>
      <c r="F220" s="570"/>
      <c r="G220" s="570"/>
      <c r="H220" s="570"/>
      <c r="I220" s="571"/>
      <c r="J220" s="571"/>
      <c r="K220" s="570"/>
      <c r="L220" s="570"/>
      <c r="M220" s="570"/>
      <c r="N220" s="572"/>
      <c r="O220" s="572"/>
      <c r="P220" s="570"/>
      <c r="Q220" s="570"/>
      <c r="R220" s="570"/>
      <c r="S220" s="570"/>
      <c r="T220" s="570"/>
      <c r="U220" s="570"/>
      <c r="V220" s="570"/>
      <c r="W220" s="570"/>
      <c r="X220" s="598"/>
    </row>
    <row r="221" spans="1:24">
      <c r="A221" s="594">
        <v>216</v>
      </c>
      <c r="B221" s="567"/>
      <c r="C221" s="598" t="s">
        <v>156</v>
      </c>
      <c r="D221" s="569"/>
      <c r="E221" s="570"/>
      <c r="F221" s="570"/>
      <c r="G221" s="570"/>
      <c r="H221" s="570"/>
      <c r="I221" s="571"/>
      <c r="J221" s="571"/>
      <c r="K221" s="570"/>
      <c r="L221" s="570"/>
      <c r="M221" s="570"/>
      <c r="N221" s="572"/>
      <c r="O221" s="572"/>
      <c r="P221" s="570"/>
      <c r="Q221" s="570"/>
      <c r="R221" s="570"/>
      <c r="S221" s="570"/>
      <c r="T221" s="570"/>
      <c r="U221" s="570"/>
      <c r="V221" s="570"/>
      <c r="W221" s="570"/>
      <c r="X221" s="598"/>
    </row>
    <row r="222" spans="1:24">
      <c r="A222" s="594">
        <v>217</v>
      </c>
      <c r="B222" s="567"/>
      <c r="C222" s="598" t="s">
        <v>156</v>
      </c>
      <c r="D222" s="569"/>
      <c r="E222" s="570"/>
      <c r="F222" s="570"/>
      <c r="G222" s="570"/>
      <c r="H222" s="570"/>
      <c r="I222" s="571"/>
      <c r="J222" s="571"/>
      <c r="K222" s="570"/>
      <c r="L222" s="570"/>
      <c r="M222" s="570"/>
      <c r="N222" s="572"/>
      <c r="O222" s="572"/>
      <c r="P222" s="570"/>
      <c r="Q222" s="570"/>
      <c r="R222" s="570"/>
      <c r="S222" s="570"/>
      <c r="T222" s="570"/>
      <c r="U222" s="570"/>
      <c r="V222" s="570"/>
      <c r="W222" s="570"/>
      <c r="X222" s="598"/>
    </row>
    <row r="223" spans="1:24">
      <c r="A223" s="594">
        <v>218</v>
      </c>
      <c r="B223" s="567"/>
      <c r="C223" s="598" t="s">
        <v>156</v>
      </c>
      <c r="D223" s="569"/>
      <c r="E223" s="570"/>
      <c r="F223" s="570"/>
      <c r="G223" s="570"/>
      <c r="H223" s="570"/>
      <c r="I223" s="571"/>
      <c r="J223" s="571"/>
      <c r="K223" s="570"/>
      <c r="L223" s="570"/>
      <c r="M223" s="570"/>
      <c r="N223" s="572"/>
      <c r="O223" s="572"/>
      <c r="P223" s="570"/>
      <c r="Q223" s="570"/>
      <c r="R223" s="570"/>
      <c r="S223" s="570"/>
      <c r="T223" s="570"/>
      <c r="U223" s="570"/>
      <c r="V223" s="570"/>
      <c r="W223" s="570"/>
      <c r="X223" s="598"/>
    </row>
    <row r="224" spans="1:24">
      <c r="A224" s="594">
        <v>219</v>
      </c>
      <c r="B224" s="567"/>
      <c r="C224" s="598" t="s">
        <v>156</v>
      </c>
      <c r="D224" s="569"/>
      <c r="E224" s="570"/>
      <c r="F224" s="570"/>
      <c r="G224" s="570"/>
      <c r="H224" s="570"/>
      <c r="I224" s="571"/>
      <c r="J224" s="571"/>
      <c r="K224" s="570"/>
      <c r="L224" s="570"/>
      <c r="M224" s="570"/>
      <c r="N224" s="572"/>
      <c r="O224" s="572"/>
      <c r="P224" s="570"/>
      <c r="Q224" s="570"/>
      <c r="R224" s="570"/>
      <c r="S224" s="570"/>
      <c r="T224" s="570"/>
      <c r="U224" s="570"/>
      <c r="V224" s="570"/>
      <c r="W224" s="570"/>
      <c r="X224" s="598"/>
    </row>
    <row r="225" spans="1:24">
      <c r="A225" s="594">
        <v>220</v>
      </c>
      <c r="B225" s="567"/>
      <c r="C225" s="598" t="s">
        <v>156</v>
      </c>
      <c r="D225" s="569"/>
      <c r="E225" s="570"/>
      <c r="F225" s="570"/>
      <c r="G225" s="570"/>
      <c r="H225" s="570"/>
      <c r="I225" s="571"/>
      <c r="J225" s="571"/>
      <c r="K225" s="570"/>
      <c r="L225" s="570"/>
      <c r="M225" s="570"/>
      <c r="N225" s="572"/>
      <c r="O225" s="572"/>
      <c r="P225" s="570"/>
      <c r="Q225" s="570"/>
      <c r="R225" s="570"/>
      <c r="S225" s="570"/>
      <c r="T225" s="570"/>
      <c r="U225" s="570"/>
      <c r="V225" s="570"/>
      <c r="W225" s="570"/>
      <c r="X225" s="598"/>
    </row>
    <row r="226" spans="1:24">
      <c r="A226" s="594">
        <v>221</v>
      </c>
      <c r="B226" s="567"/>
      <c r="C226" s="598" t="s">
        <v>156</v>
      </c>
      <c r="D226" s="569"/>
      <c r="E226" s="570"/>
      <c r="F226" s="570"/>
      <c r="G226" s="570"/>
      <c r="H226" s="570"/>
      <c r="I226" s="571"/>
      <c r="J226" s="571"/>
      <c r="K226" s="570"/>
      <c r="L226" s="570"/>
      <c r="M226" s="570"/>
      <c r="N226" s="572"/>
      <c r="O226" s="572"/>
      <c r="P226" s="570"/>
      <c r="Q226" s="570"/>
      <c r="R226" s="570"/>
      <c r="S226" s="570"/>
      <c r="T226" s="570"/>
      <c r="U226" s="570"/>
      <c r="V226" s="570"/>
      <c r="W226" s="570"/>
      <c r="X226" s="598"/>
    </row>
    <row r="227" spans="1:24">
      <c r="A227" s="594">
        <v>222</v>
      </c>
      <c r="B227" s="567"/>
      <c r="C227" s="598" t="s">
        <v>156</v>
      </c>
      <c r="D227" s="569"/>
      <c r="E227" s="570"/>
      <c r="F227" s="570"/>
      <c r="G227" s="570"/>
      <c r="H227" s="570"/>
      <c r="I227" s="571"/>
      <c r="J227" s="571"/>
      <c r="K227" s="570"/>
      <c r="L227" s="570"/>
      <c r="M227" s="570"/>
      <c r="N227" s="572"/>
      <c r="O227" s="572"/>
      <c r="P227" s="570"/>
      <c r="Q227" s="570"/>
      <c r="R227" s="570"/>
      <c r="S227" s="570"/>
      <c r="T227" s="570"/>
      <c r="U227" s="570"/>
      <c r="V227" s="570"/>
      <c r="W227" s="570"/>
      <c r="X227" s="598"/>
    </row>
    <row r="228" spans="1:24">
      <c r="A228" s="594">
        <v>223</v>
      </c>
      <c r="B228" s="567"/>
      <c r="C228" s="598" t="s">
        <v>156</v>
      </c>
      <c r="D228" s="569"/>
      <c r="E228" s="570"/>
      <c r="F228" s="570"/>
      <c r="G228" s="570"/>
      <c r="H228" s="570"/>
      <c r="I228" s="571"/>
      <c r="J228" s="571"/>
      <c r="K228" s="570"/>
      <c r="L228" s="570"/>
      <c r="M228" s="570"/>
      <c r="N228" s="572"/>
      <c r="O228" s="572"/>
      <c r="P228" s="570"/>
      <c r="Q228" s="570"/>
      <c r="R228" s="570"/>
      <c r="S228" s="570"/>
      <c r="T228" s="570"/>
      <c r="U228" s="570"/>
      <c r="V228" s="570"/>
      <c r="W228" s="570"/>
      <c r="X228" s="598"/>
    </row>
    <row r="229" spans="1:24">
      <c r="A229" s="594">
        <v>224</v>
      </c>
      <c r="B229" s="567"/>
      <c r="C229" s="598" t="s">
        <v>156</v>
      </c>
      <c r="D229" s="569"/>
      <c r="E229" s="570"/>
      <c r="F229" s="570"/>
      <c r="G229" s="570"/>
      <c r="H229" s="570"/>
      <c r="I229" s="571"/>
      <c r="J229" s="571"/>
      <c r="K229" s="570"/>
      <c r="L229" s="570"/>
      <c r="M229" s="570"/>
      <c r="N229" s="572"/>
      <c r="O229" s="572"/>
      <c r="P229" s="570"/>
      <c r="Q229" s="570"/>
      <c r="R229" s="570"/>
      <c r="S229" s="570"/>
      <c r="T229" s="570"/>
      <c r="U229" s="570"/>
      <c r="V229" s="570"/>
      <c r="W229" s="570"/>
      <c r="X229" s="598"/>
    </row>
    <row r="230" spans="1:24">
      <c r="A230" s="594">
        <v>225</v>
      </c>
      <c r="B230" s="567"/>
      <c r="C230" s="598" t="s">
        <v>156</v>
      </c>
      <c r="D230" s="569"/>
      <c r="E230" s="570"/>
      <c r="F230" s="570"/>
      <c r="G230" s="570"/>
      <c r="H230" s="570"/>
      <c r="I230" s="571"/>
      <c r="J230" s="571"/>
      <c r="K230" s="570"/>
      <c r="L230" s="570"/>
      <c r="M230" s="570"/>
      <c r="N230" s="572"/>
      <c r="O230" s="572"/>
      <c r="P230" s="570"/>
      <c r="Q230" s="570"/>
      <c r="R230" s="570"/>
      <c r="S230" s="570"/>
      <c r="T230" s="570"/>
      <c r="U230" s="570"/>
      <c r="V230" s="570"/>
      <c r="W230" s="570"/>
      <c r="X230" s="598"/>
    </row>
    <row r="231" spans="1:24">
      <c r="A231" s="594">
        <v>226</v>
      </c>
      <c r="B231" s="567"/>
      <c r="C231" s="598" t="s">
        <v>156</v>
      </c>
      <c r="D231" s="569"/>
      <c r="E231" s="570"/>
      <c r="F231" s="570"/>
      <c r="G231" s="570"/>
      <c r="H231" s="570"/>
      <c r="I231" s="571"/>
      <c r="J231" s="571"/>
      <c r="K231" s="570"/>
      <c r="L231" s="570"/>
      <c r="M231" s="570"/>
      <c r="N231" s="572"/>
      <c r="O231" s="572"/>
      <c r="P231" s="570"/>
      <c r="Q231" s="570"/>
      <c r="R231" s="570"/>
      <c r="S231" s="570"/>
      <c r="T231" s="570"/>
      <c r="U231" s="570"/>
      <c r="V231" s="570"/>
      <c r="W231" s="570"/>
      <c r="X231" s="598"/>
    </row>
    <row r="232" spans="1:24">
      <c r="A232" s="594">
        <v>227</v>
      </c>
      <c r="B232" s="567"/>
      <c r="C232" s="598" t="s">
        <v>156</v>
      </c>
      <c r="D232" s="569"/>
      <c r="E232" s="570"/>
      <c r="F232" s="570"/>
      <c r="G232" s="570"/>
      <c r="H232" s="570"/>
      <c r="I232" s="571"/>
      <c r="J232" s="571"/>
      <c r="K232" s="570"/>
      <c r="L232" s="570"/>
      <c r="M232" s="570"/>
      <c r="N232" s="572"/>
      <c r="O232" s="572"/>
      <c r="P232" s="570"/>
      <c r="Q232" s="570"/>
      <c r="R232" s="570"/>
      <c r="S232" s="570"/>
      <c r="T232" s="570"/>
      <c r="U232" s="570"/>
      <c r="V232" s="570"/>
      <c r="W232" s="570"/>
      <c r="X232" s="598"/>
    </row>
    <row r="233" spans="1:24">
      <c r="A233" s="594">
        <v>228</v>
      </c>
      <c r="B233" s="567"/>
      <c r="C233" s="598" t="s">
        <v>156</v>
      </c>
      <c r="D233" s="569"/>
      <c r="E233" s="570"/>
      <c r="F233" s="570"/>
      <c r="G233" s="570"/>
      <c r="H233" s="570"/>
      <c r="I233" s="571"/>
      <c r="J233" s="571"/>
      <c r="K233" s="570"/>
      <c r="L233" s="570"/>
      <c r="M233" s="570"/>
      <c r="N233" s="572"/>
      <c r="O233" s="572"/>
      <c r="P233" s="570"/>
      <c r="Q233" s="570"/>
      <c r="R233" s="570"/>
      <c r="S233" s="570"/>
      <c r="T233" s="570"/>
      <c r="U233" s="570"/>
      <c r="V233" s="570"/>
      <c r="W233" s="570"/>
      <c r="X233" s="598"/>
    </row>
    <row r="234" spans="1:24">
      <c r="A234" s="594">
        <v>229</v>
      </c>
      <c r="B234" s="567"/>
      <c r="C234" s="598" t="s">
        <v>156</v>
      </c>
      <c r="D234" s="569"/>
      <c r="E234" s="570"/>
      <c r="F234" s="570"/>
      <c r="G234" s="570"/>
      <c r="H234" s="570"/>
      <c r="I234" s="571"/>
      <c r="J234" s="571"/>
      <c r="K234" s="570"/>
      <c r="L234" s="570"/>
      <c r="M234" s="570"/>
      <c r="N234" s="572"/>
      <c r="O234" s="572"/>
      <c r="P234" s="570"/>
      <c r="Q234" s="570"/>
      <c r="R234" s="570"/>
      <c r="S234" s="570"/>
      <c r="T234" s="570"/>
      <c r="U234" s="570"/>
      <c r="V234" s="570"/>
      <c r="W234" s="570"/>
      <c r="X234" s="598"/>
    </row>
    <row r="235" spans="1:24">
      <c r="A235" s="594">
        <v>230</v>
      </c>
      <c r="B235" s="567"/>
      <c r="C235" s="598" t="s">
        <v>156</v>
      </c>
      <c r="D235" s="569"/>
      <c r="E235" s="570"/>
      <c r="F235" s="570"/>
      <c r="G235" s="570"/>
      <c r="H235" s="570"/>
      <c r="I235" s="571"/>
      <c r="J235" s="571"/>
      <c r="K235" s="570"/>
      <c r="L235" s="570"/>
      <c r="M235" s="570"/>
      <c r="N235" s="572"/>
      <c r="O235" s="572"/>
      <c r="P235" s="570"/>
      <c r="Q235" s="570"/>
      <c r="R235" s="570"/>
      <c r="S235" s="570"/>
      <c r="T235" s="570"/>
      <c r="U235" s="570"/>
      <c r="V235" s="570"/>
      <c r="W235" s="570"/>
      <c r="X235" s="598"/>
    </row>
    <row r="236" spans="1:24">
      <c r="A236" s="594">
        <v>231</v>
      </c>
      <c r="B236" s="567"/>
      <c r="C236" s="598" t="s">
        <v>156</v>
      </c>
      <c r="D236" s="569"/>
      <c r="E236" s="570"/>
      <c r="F236" s="570"/>
      <c r="G236" s="570"/>
      <c r="H236" s="570"/>
      <c r="I236" s="571"/>
      <c r="J236" s="571"/>
      <c r="K236" s="570"/>
      <c r="L236" s="570"/>
      <c r="M236" s="570"/>
      <c r="N236" s="572"/>
      <c r="O236" s="572"/>
      <c r="P236" s="570"/>
      <c r="Q236" s="570"/>
      <c r="R236" s="570"/>
      <c r="S236" s="570"/>
      <c r="T236" s="570"/>
      <c r="U236" s="570"/>
      <c r="V236" s="570"/>
      <c r="W236" s="570"/>
      <c r="X236" s="598"/>
    </row>
    <row r="237" spans="1:24">
      <c r="A237" s="594">
        <v>232</v>
      </c>
      <c r="B237" s="567"/>
      <c r="C237" s="598" t="s">
        <v>156</v>
      </c>
      <c r="D237" s="569"/>
      <c r="E237" s="570"/>
      <c r="F237" s="570"/>
      <c r="G237" s="570"/>
      <c r="H237" s="570"/>
      <c r="I237" s="571"/>
      <c r="J237" s="571"/>
      <c r="K237" s="570"/>
      <c r="L237" s="570"/>
      <c r="M237" s="570"/>
      <c r="N237" s="572"/>
      <c r="O237" s="572"/>
      <c r="P237" s="570"/>
      <c r="Q237" s="570"/>
      <c r="R237" s="570"/>
      <c r="S237" s="570"/>
      <c r="T237" s="570"/>
      <c r="U237" s="570"/>
      <c r="V237" s="570"/>
      <c r="W237" s="570"/>
      <c r="X237" s="598"/>
    </row>
    <row r="238" spans="1:24">
      <c r="A238" s="594">
        <v>233</v>
      </c>
      <c r="B238" s="567"/>
      <c r="C238" s="598" t="s">
        <v>156</v>
      </c>
      <c r="D238" s="569"/>
      <c r="E238" s="570"/>
      <c r="F238" s="570"/>
      <c r="G238" s="570"/>
      <c r="H238" s="570"/>
      <c r="I238" s="571"/>
      <c r="J238" s="571"/>
      <c r="K238" s="570"/>
      <c r="L238" s="570"/>
      <c r="M238" s="570"/>
      <c r="N238" s="572"/>
      <c r="O238" s="572"/>
      <c r="P238" s="570"/>
      <c r="Q238" s="570"/>
      <c r="R238" s="570"/>
      <c r="S238" s="570"/>
      <c r="T238" s="570"/>
      <c r="U238" s="570"/>
      <c r="V238" s="570"/>
      <c r="W238" s="570"/>
      <c r="X238" s="598"/>
    </row>
    <row r="239" spans="1:24">
      <c r="A239" s="594">
        <v>234</v>
      </c>
      <c r="B239" s="567"/>
      <c r="C239" s="598" t="s">
        <v>156</v>
      </c>
      <c r="D239" s="569"/>
      <c r="E239" s="570"/>
      <c r="F239" s="570"/>
      <c r="G239" s="570"/>
      <c r="H239" s="570"/>
      <c r="I239" s="571"/>
      <c r="J239" s="571"/>
      <c r="K239" s="570"/>
      <c r="L239" s="570"/>
      <c r="M239" s="570"/>
      <c r="N239" s="572"/>
      <c r="O239" s="572"/>
      <c r="P239" s="570"/>
      <c r="Q239" s="570"/>
      <c r="R239" s="570"/>
      <c r="S239" s="570"/>
      <c r="T239" s="570"/>
      <c r="U239" s="570"/>
      <c r="V239" s="570"/>
      <c r="W239" s="570"/>
      <c r="X239" s="598"/>
    </row>
    <row r="240" spans="1:24">
      <c r="A240" s="594">
        <v>235</v>
      </c>
      <c r="B240" s="567"/>
      <c r="C240" s="598" t="s">
        <v>156</v>
      </c>
      <c r="D240" s="569"/>
      <c r="E240" s="570"/>
      <c r="F240" s="570"/>
      <c r="G240" s="570"/>
      <c r="H240" s="570"/>
      <c r="I240" s="571"/>
      <c r="J240" s="571"/>
      <c r="K240" s="570"/>
      <c r="L240" s="570"/>
      <c r="M240" s="570"/>
      <c r="N240" s="572"/>
      <c r="O240" s="572"/>
      <c r="P240" s="570"/>
      <c r="Q240" s="570"/>
      <c r="R240" s="570"/>
      <c r="S240" s="570"/>
      <c r="T240" s="570"/>
      <c r="U240" s="570"/>
      <c r="V240" s="570"/>
      <c r="W240" s="570"/>
      <c r="X240" s="598"/>
    </row>
    <row r="241" spans="1:24">
      <c r="A241" s="594">
        <v>236</v>
      </c>
      <c r="B241" s="567"/>
      <c r="C241" s="598" t="s">
        <v>156</v>
      </c>
      <c r="D241" s="569"/>
      <c r="E241" s="570"/>
      <c r="F241" s="570"/>
      <c r="G241" s="570"/>
      <c r="H241" s="570"/>
      <c r="I241" s="571"/>
      <c r="J241" s="571"/>
      <c r="K241" s="570"/>
      <c r="L241" s="570"/>
      <c r="M241" s="570"/>
      <c r="N241" s="572"/>
      <c r="O241" s="572"/>
      <c r="P241" s="570"/>
      <c r="Q241" s="570"/>
      <c r="R241" s="570"/>
      <c r="S241" s="570"/>
      <c r="T241" s="570"/>
      <c r="U241" s="570"/>
      <c r="V241" s="570"/>
      <c r="W241" s="570"/>
      <c r="X241" s="598"/>
    </row>
    <row r="242" spans="1:24">
      <c r="A242" s="594">
        <v>237</v>
      </c>
      <c r="B242" s="567"/>
      <c r="C242" s="598" t="s">
        <v>156</v>
      </c>
      <c r="D242" s="569"/>
      <c r="E242" s="570"/>
      <c r="F242" s="570"/>
      <c r="G242" s="570"/>
      <c r="H242" s="570"/>
      <c r="I242" s="571"/>
      <c r="J242" s="571"/>
      <c r="K242" s="570"/>
      <c r="L242" s="570"/>
      <c r="M242" s="570"/>
      <c r="N242" s="572"/>
      <c r="O242" s="572"/>
      <c r="P242" s="570"/>
      <c r="Q242" s="570"/>
      <c r="R242" s="570"/>
      <c r="S242" s="570"/>
      <c r="T242" s="570"/>
      <c r="U242" s="570"/>
      <c r="V242" s="570"/>
      <c r="W242" s="570"/>
      <c r="X242" s="598"/>
    </row>
    <row r="243" spans="1:24">
      <c r="A243" s="594">
        <v>238</v>
      </c>
      <c r="B243" s="567"/>
      <c r="C243" s="598" t="s">
        <v>156</v>
      </c>
      <c r="D243" s="569"/>
      <c r="E243" s="570"/>
      <c r="F243" s="570"/>
      <c r="G243" s="570"/>
      <c r="H243" s="570"/>
      <c r="I243" s="571"/>
      <c r="J243" s="571"/>
      <c r="K243" s="570"/>
      <c r="L243" s="570"/>
      <c r="M243" s="570"/>
      <c r="N243" s="572"/>
      <c r="O243" s="572"/>
      <c r="P243" s="570"/>
      <c r="Q243" s="570"/>
      <c r="R243" s="570"/>
      <c r="S243" s="570"/>
      <c r="T243" s="570"/>
      <c r="U243" s="570"/>
      <c r="V243" s="570"/>
      <c r="W243" s="570"/>
      <c r="X243" s="598"/>
    </row>
    <row r="244" spans="1:24">
      <c r="A244" s="594">
        <v>239</v>
      </c>
      <c r="B244" s="567"/>
      <c r="C244" s="598" t="s">
        <v>156</v>
      </c>
      <c r="D244" s="569"/>
      <c r="E244" s="570"/>
      <c r="F244" s="570"/>
      <c r="G244" s="570"/>
      <c r="H244" s="570"/>
      <c r="I244" s="571"/>
      <c r="J244" s="571"/>
      <c r="K244" s="570"/>
      <c r="L244" s="570"/>
      <c r="M244" s="570"/>
      <c r="N244" s="572"/>
      <c r="O244" s="572"/>
      <c r="P244" s="570"/>
      <c r="Q244" s="570"/>
      <c r="R244" s="570"/>
      <c r="S244" s="570"/>
      <c r="T244" s="570"/>
      <c r="U244" s="570"/>
      <c r="V244" s="570"/>
      <c r="W244" s="570"/>
      <c r="X244" s="598"/>
    </row>
    <row r="245" spans="1:24">
      <c r="A245" s="594">
        <v>240</v>
      </c>
      <c r="B245" s="567"/>
      <c r="C245" s="598" t="s">
        <v>156</v>
      </c>
      <c r="D245" s="569"/>
      <c r="E245" s="570"/>
      <c r="F245" s="570"/>
      <c r="G245" s="570"/>
      <c r="H245" s="570"/>
      <c r="I245" s="571"/>
      <c r="J245" s="571"/>
      <c r="K245" s="570"/>
      <c r="L245" s="570"/>
      <c r="M245" s="570"/>
      <c r="N245" s="572"/>
      <c r="O245" s="572"/>
      <c r="P245" s="570"/>
      <c r="Q245" s="570"/>
      <c r="R245" s="570"/>
      <c r="S245" s="570"/>
      <c r="T245" s="570"/>
      <c r="U245" s="570"/>
      <c r="V245" s="570"/>
      <c r="W245" s="570"/>
      <c r="X245" s="598"/>
    </row>
    <row r="246" spans="1:24">
      <c r="A246" s="594">
        <v>241</v>
      </c>
      <c r="B246" s="567"/>
      <c r="C246" s="598" t="s">
        <v>156</v>
      </c>
      <c r="D246" s="569"/>
      <c r="E246" s="570"/>
      <c r="F246" s="570"/>
      <c r="G246" s="570"/>
      <c r="H246" s="570"/>
      <c r="I246" s="571"/>
      <c r="J246" s="571"/>
      <c r="K246" s="570"/>
      <c r="L246" s="570"/>
      <c r="M246" s="570"/>
      <c r="N246" s="572"/>
      <c r="O246" s="572"/>
      <c r="P246" s="570"/>
      <c r="Q246" s="570"/>
      <c r="R246" s="570"/>
      <c r="S246" s="570"/>
      <c r="T246" s="570"/>
      <c r="U246" s="570"/>
      <c r="V246" s="570"/>
      <c r="W246" s="570"/>
      <c r="X246" s="598"/>
    </row>
    <row r="247" spans="1:24">
      <c r="A247" s="594">
        <v>242</v>
      </c>
      <c r="B247" s="567"/>
      <c r="C247" s="598" t="s">
        <v>156</v>
      </c>
      <c r="D247" s="569"/>
      <c r="E247" s="570"/>
      <c r="F247" s="570"/>
      <c r="G247" s="570"/>
      <c r="H247" s="570"/>
      <c r="I247" s="571"/>
      <c r="J247" s="571"/>
      <c r="K247" s="570"/>
      <c r="L247" s="570"/>
      <c r="M247" s="570"/>
      <c r="N247" s="572"/>
      <c r="O247" s="572"/>
      <c r="P247" s="570"/>
      <c r="Q247" s="570"/>
      <c r="R247" s="570"/>
      <c r="S247" s="570"/>
      <c r="T247" s="570"/>
      <c r="U247" s="570"/>
      <c r="V247" s="570"/>
      <c r="W247" s="570"/>
      <c r="X247" s="598"/>
    </row>
    <row r="248" spans="1:24">
      <c r="A248" s="594">
        <v>243</v>
      </c>
      <c r="B248" s="567"/>
      <c r="C248" s="598" t="s">
        <v>156</v>
      </c>
      <c r="D248" s="569"/>
      <c r="E248" s="570"/>
      <c r="F248" s="570"/>
      <c r="G248" s="570"/>
      <c r="H248" s="570"/>
      <c r="I248" s="571"/>
      <c r="J248" s="571"/>
      <c r="K248" s="570"/>
      <c r="L248" s="570"/>
      <c r="M248" s="570"/>
      <c r="N248" s="572"/>
      <c r="O248" s="572"/>
      <c r="P248" s="570"/>
      <c r="Q248" s="570"/>
      <c r="R248" s="570"/>
      <c r="S248" s="570"/>
      <c r="T248" s="570"/>
      <c r="U248" s="570"/>
      <c r="V248" s="570"/>
      <c r="W248" s="570"/>
      <c r="X248" s="598"/>
    </row>
    <row r="249" spans="1:24">
      <c r="A249" s="594">
        <v>244</v>
      </c>
      <c r="B249" s="567"/>
      <c r="C249" s="598" t="s">
        <v>156</v>
      </c>
      <c r="D249" s="569"/>
      <c r="E249" s="570"/>
      <c r="F249" s="570"/>
      <c r="G249" s="570"/>
      <c r="H249" s="570"/>
      <c r="I249" s="571"/>
      <c r="J249" s="571"/>
      <c r="K249" s="570"/>
      <c r="L249" s="570"/>
      <c r="M249" s="570"/>
      <c r="N249" s="572"/>
      <c r="O249" s="572"/>
      <c r="P249" s="570"/>
      <c r="Q249" s="570"/>
      <c r="R249" s="570"/>
      <c r="S249" s="570"/>
      <c r="T249" s="570"/>
      <c r="U249" s="570"/>
      <c r="V249" s="570"/>
      <c r="W249" s="570"/>
      <c r="X249" s="598"/>
    </row>
    <row r="250" spans="1:24">
      <c r="A250" s="594">
        <v>245</v>
      </c>
      <c r="B250" s="567"/>
      <c r="C250" s="598" t="s">
        <v>156</v>
      </c>
      <c r="D250" s="569"/>
      <c r="E250" s="570"/>
      <c r="F250" s="570"/>
      <c r="G250" s="570"/>
      <c r="H250" s="570"/>
      <c r="I250" s="571"/>
      <c r="J250" s="571"/>
      <c r="K250" s="570"/>
      <c r="L250" s="570"/>
      <c r="M250" s="570"/>
      <c r="N250" s="572"/>
      <c r="O250" s="572"/>
      <c r="P250" s="570"/>
      <c r="Q250" s="570"/>
      <c r="R250" s="570"/>
      <c r="S250" s="570"/>
      <c r="T250" s="570"/>
      <c r="U250" s="570"/>
      <c r="V250" s="570"/>
      <c r="W250" s="570"/>
      <c r="X250" s="598"/>
    </row>
    <row r="251" spans="1:24">
      <c r="A251" s="594">
        <v>246</v>
      </c>
      <c r="B251" s="567"/>
      <c r="C251" s="598" t="s">
        <v>156</v>
      </c>
      <c r="D251" s="569"/>
      <c r="E251" s="570"/>
      <c r="F251" s="570"/>
      <c r="G251" s="570"/>
      <c r="H251" s="570"/>
      <c r="I251" s="571"/>
      <c r="J251" s="571"/>
      <c r="K251" s="570"/>
      <c r="L251" s="570"/>
      <c r="M251" s="570"/>
      <c r="N251" s="572"/>
      <c r="O251" s="572"/>
      <c r="P251" s="570"/>
      <c r="Q251" s="570"/>
      <c r="R251" s="570"/>
      <c r="S251" s="570"/>
      <c r="T251" s="570"/>
      <c r="U251" s="570"/>
      <c r="V251" s="570"/>
      <c r="W251" s="570"/>
      <c r="X251" s="598"/>
    </row>
    <row r="252" spans="1:24">
      <c r="A252" s="594">
        <v>247</v>
      </c>
      <c r="B252" s="567"/>
      <c r="C252" s="598" t="s">
        <v>156</v>
      </c>
      <c r="D252" s="569"/>
      <c r="E252" s="570"/>
      <c r="F252" s="570"/>
      <c r="G252" s="570"/>
      <c r="H252" s="570"/>
      <c r="I252" s="571"/>
      <c r="J252" s="571"/>
      <c r="K252" s="570"/>
      <c r="L252" s="570"/>
      <c r="M252" s="570"/>
      <c r="N252" s="572"/>
      <c r="O252" s="572"/>
      <c r="P252" s="570"/>
      <c r="Q252" s="570"/>
      <c r="R252" s="570"/>
      <c r="S252" s="570"/>
      <c r="T252" s="570"/>
      <c r="U252" s="570"/>
      <c r="V252" s="570"/>
      <c r="W252" s="570"/>
      <c r="X252" s="598"/>
    </row>
    <row r="253" spans="1:24">
      <c r="A253" s="594">
        <v>248</v>
      </c>
      <c r="B253" s="567"/>
      <c r="C253" s="598" t="s">
        <v>156</v>
      </c>
      <c r="D253" s="569"/>
      <c r="E253" s="570"/>
      <c r="F253" s="570"/>
      <c r="G253" s="570"/>
      <c r="H253" s="570"/>
      <c r="I253" s="571"/>
      <c r="J253" s="571"/>
      <c r="K253" s="570"/>
      <c r="L253" s="570"/>
      <c r="M253" s="570"/>
      <c r="N253" s="572"/>
      <c r="O253" s="572"/>
      <c r="P253" s="570"/>
      <c r="Q253" s="570"/>
      <c r="R253" s="570"/>
      <c r="S253" s="570"/>
      <c r="T253" s="570"/>
      <c r="U253" s="570"/>
      <c r="V253" s="570"/>
      <c r="W253" s="570"/>
      <c r="X253" s="598"/>
    </row>
    <row r="254" spans="1:24">
      <c r="A254" s="594">
        <v>249</v>
      </c>
      <c r="B254" s="567"/>
      <c r="C254" s="598" t="s">
        <v>156</v>
      </c>
      <c r="D254" s="569"/>
      <c r="E254" s="570"/>
      <c r="F254" s="570"/>
      <c r="G254" s="570"/>
      <c r="H254" s="570"/>
      <c r="I254" s="571"/>
      <c r="J254" s="571"/>
      <c r="K254" s="570"/>
      <c r="L254" s="570"/>
      <c r="M254" s="570"/>
      <c r="N254" s="572"/>
      <c r="O254" s="572"/>
      <c r="P254" s="570"/>
      <c r="Q254" s="570"/>
      <c r="R254" s="570"/>
      <c r="S254" s="570"/>
      <c r="T254" s="570"/>
      <c r="U254" s="570"/>
      <c r="V254" s="570"/>
      <c r="W254" s="570"/>
      <c r="X254" s="598"/>
    </row>
    <row r="255" spans="1:24">
      <c r="A255" s="594">
        <v>250</v>
      </c>
      <c r="B255" s="567"/>
      <c r="C255" s="598" t="s">
        <v>156</v>
      </c>
      <c r="D255" s="569"/>
      <c r="E255" s="570"/>
      <c r="F255" s="570"/>
      <c r="G255" s="570"/>
      <c r="H255" s="570"/>
      <c r="I255" s="571"/>
      <c r="J255" s="571"/>
      <c r="K255" s="570"/>
      <c r="L255" s="570"/>
      <c r="M255" s="570"/>
      <c r="N255" s="572"/>
      <c r="O255" s="572"/>
      <c r="P255" s="570"/>
      <c r="Q255" s="570"/>
      <c r="R255" s="570"/>
      <c r="S255" s="570"/>
      <c r="T255" s="570"/>
      <c r="U255" s="570"/>
      <c r="V255" s="570"/>
      <c r="W255" s="570"/>
      <c r="X255" s="598"/>
    </row>
    <row r="256" spans="1:24">
      <c r="A256" s="594">
        <v>251</v>
      </c>
      <c r="B256" s="567"/>
      <c r="C256" s="598" t="s">
        <v>156</v>
      </c>
      <c r="D256" s="569"/>
      <c r="E256" s="570"/>
      <c r="F256" s="570"/>
      <c r="G256" s="570"/>
      <c r="H256" s="570"/>
      <c r="I256" s="571"/>
      <c r="J256" s="571"/>
      <c r="K256" s="570"/>
      <c r="L256" s="570"/>
      <c r="M256" s="570"/>
      <c r="N256" s="572"/>
      <c r="O256" s="572"/>
      <c r="P256" s="570"/>
      <c r="Q256" s="570"/>
      <c r="R256" s="570"/>
      <c r="S256" s="570"/>
      <c r="T256" s="570"/>
      <c r="U256" s="570"/>
      <c r="V256" s="570"/>
      <c r="W256" s="570"/>
      <c r="X256" s="598"/>
    </row>
    <row r="257" spans="1:24">
      <c r="A257" s="594">
        <v>252</v>
      </c>
      <c r="B257" s="567"/>
      <c r="C257" s="598" t="s">
        <v>156</v>
      </c>
      <c r="D257" s="569"/>
      <c r="E257" s="570"/>
      <c r="F257" s="570"/>
      <c r="G257" s="570"/>
      <c r="H257" s="570"/>
      <c r="I257" s="571"/>
      <c r="J257" s="571"/>
      <c r="K257" s="570"/>
      <c r="L257" s="570"/>
      <c r="M257" s="570"/>
      <c r="N257" s="572"/>
      <c r="O257" s="572"/>
      <c r="P257" s="570"/>
      <c r="Q257" s="570"/>
      <c r="R257" s="570"/>
      <c r="S257" s="570"/>
      <c r="T257" s="570"/>
      <c r="U257" s="570"/>
      <c r="V257" s="570"/>
      <c r="W257" s="570"/>
      <c r="X257" s="598"/>
    </row>
    <row r="258" spans="1:24">
      <c r="A258" s="594">
        <v>253</v>
      </c>
      <c r="B258" s="567"/>
      <c r="C258" s="598" t="s">
        <v>156</v>
      </c>
      <c r="D258" s="569"/>
      <c r="E258" s="570"/>
      <c r="F258" s="570"/>
      <c r="G258" s="570"/>
      <c r="H258" s="570"/>
      <c r="I258" s="571"/>
      <c r="J258" s="571"/>
      <c r="K258" s="570"/>
      <c r="L258" s="570"/>
      <c r="M258" s="570"/>
      <c r="N258" s="572"/>
      <c r="O258" s="572"/>
      <c r="P258" s="570"/>
      <c r="Q258" s="570"/>
      <c r="R258" s="570"/>
      <c r="S258" s="570"/>
      <c r="T258" s="570"/>
      <c r="U258" s="570"/>
      <c r="V258" s="570"/>
      <c r="W258" s="570"/>
      <c r="X258" s="598"/>
    </row>
    <row r="259" spans="1:24">
      <c r="A259" s="594">
        <v>254</v>
      </c>
      <c r="B259" s="567"/>
      <c r="C259" s="598" t="s">
        <v>156</v>
      </c>
      <c r="D259" s="569"/>
      <c r="E259" s="570"/>
      <c r="F259" s="570"/>
      <c r="G259" s="570"/>
      <c r="H259" s="570"/>
      <c r="I259" s="571"/>
      <c r="J259" s="571"/>
      <c r="K259" s="570"/>
      <c r="L259" s="570"/>
      <c r="M259" s="570"/>
      <c r="N259" s="572"/>
      <c r="O259" s="572"/>
      <c r="P259" s="570"/>
      <c r="Q259" s="570"/>
      <c r="R259" s="570"/>
      <c r="S259" s="570"/>
      <c r="T259" s="570"/>
      <c r="U259" s="570"/>
      <c r="V259" s="570"/>
      <c r="W259" s="570"/>
      <c r="X259" s="598"/>
    </row>
    <row r="260" spans="1:24">
      <c r="A260" s="594">
        <v>255</v>
      </c>
      <c r="B260" s="567"/>
      <c r="C260" s="598" t="s">
        <v>156</v>
      </c>
      <c r="D260" s="569"/>
      <c r="E260" s="570"/>
      <c r="F260" s="570"/>
      <c r="G260" s="570"/>
      <c r="H260" s="570"/>
      <c r="I260" s="571"/>
      <c r="J260" s="571"/>
      <c r="K260" s="570"/>
      <c r="L260" s="570"/>
      <c r="M260" s="570"/>
      <c r="N260" s="572"/>
      <c r="O260" s="572"/>
      <c r="P260" s="570"/>
      <c r="Q260" s="570"/>
      <c r="R260" s="570"/>
      <c r="S260" s="570"/>
      <c r="T260" s="570"/>
      <c r="U260" s="570"/>
      <c r="V260" s="570"/>
      <c r="W260" s="570"/>
      <c r="X260" s="598"/>
    </row>
    <row r="261" spans="1:24">
      <c r="A261" s="594">
        <v>256</v>
      </c>
      <c r="B261" s="567"/>
      <c r="C261" s="598" t="s">
        <v>156</v>
      </c>
      <c r="D261" s="569"/>
      <c r="E261" s="570"/>
      <c r="F261" s="570"/>
      <c r="G261" s="570"/>
      <c r="H261" s="570"/>
      <c r="I261" s="571"/>
      <c r="J261" s="571"/>
      <c r="K261" s="570"/>
      <c r="L261" s="570"/>
      <c r="M261" s="570"/>
      <c r="N261" s="572"/>
      <c r="O261" s="572"/>
      <c r="P261" s="570"/>
      <c r="Q261" s="570"/>
      <c r="R261" s="570"/>
      <c r="S261" s="570"/>
      <c r="T261" s="570"/>
      <c r="U261" s="570"/>
      <c r="V261" s="570"/>
      <c r="W261" s="570"/>
      <c r="X261" s="598"/>
    </row>
    <row r="262" spans="1:24">
      <c r="A262" s="594">
        <v>257</v>
      </c>
      <c r="B262" s="567"/>
      <c r="C262" s="598" t="s">
        <v>156</v>
      </c>
      <c r="D262" s="569"/>
      <c r="E262" s="570"/>
      <c r="F262" s="570"/>
      <c r="G262" s="570"/>
      <c r="H262" s="570"/>
      <c r="I262" s="571"/>
      <c r="J262" s="571"/>
      <c r="K262" s="570"/>
      <c r="L262" s="570"/>
      <c r="M262" s="570"/>
      <c r="N262" s="572"/>
      <c r="O262" s="572"/>
      <c r="P262" s="570"/>
      <c r="Q262" s="570"/>
      <c r="R262" s="570"/>
      <c r="S262" s="570"/>
      <c r="T262" s="570"/>
      <c r="U262" s="570"/>
      <c r="V262" s="570"/>
      <c r="W262" s="570"/>
      <c r="X262" s="598"/>
    </row>
    <row r="263" spans="1:24">
      <c r="A263" s="594">
        <v>258</v>
      </c>
      <c r="B263" s="567"/>
      <c r="C263" s="598" t="s">
        <v>156</v>
      </c>
      <c r="D263" s="569"/>
      <c r="E263" s="570"/>
      <c r="F263" s="570"/>
      <c r="G263" s="570"/>
      <c r="H263" s="570"/>
      <c r="I263" s="571"/>
      <c r="J263" s="571"/>
      <c r="K263" s="570"/>
      <c r="L263" s="570"/>
      <c r="M263" s="570"/>
      <c r="N263" s="572"/>
      <c r="O263" s="572"/>
      <c r="P263" s="570"/>
      <c r="Q263" s="570"/>
      <c r="R263" s="570"/>
      <c r="S263" s="570"/>
      <c r="T263" s="570"/>
      <c r="U263" s="570"/>
      <c r="V263" s="570"/>
      <c r="W263" s="570"/>
      <c r="X263" s="598"/>
    </row>
    <row r="264" spans="1:24">
      <c r="A264" s="594">
        <v>259</v>
      </c>
      <c r="B264" s="567"/>
      <c r="C264" s="598" t="s">
        <v>156</v>
      </c>
      <c r="D264" s="569"/>
      <c r="E264" s="570"/>
      <c r="F264" s="570"/>
      <c r="G264" s="570"/>
      <c r="H264" s="570"/>
      <c r="I264" s="571"/>
      <c r="J264" s="571"/>
      <c r="K264" s="570"/>
      <c r="L264" s="570"/>
      <c r="M264" s="570"/>
      <c r="N264" s="572"/>
      <c r="O264" s="572"/>
      <c r="P264" s="570"/>
      <c r="Q264" s="570"/>
      <c r="R264" s="570"/>
      <c r="S264" s="570"/>
      <c r="T264" s="570"/>
      <c r="U264" s="570"/>
      <c r="V264" s="570"/>
      <c r="W264" s="570"/>
      <c r="X264" s="598"/>
    </row>
    <row r="265" spans="1:24">
      <c r="A265" s="594">
        <v>260</v>
      </c>
      <c r="B265" s="567"/>
      <c r="C265" s="598" t="s">
        <v>156</v>
      </c>
      <c r="D265" s="569"/>
      <c r="E265" s="570"/>
      <c r="F265" s="570"/>
      <c r="G265" s="570"/>
      <c r="H265" s="570"/>
      <c r="I265" s="571"/>
      <c r="J265" s="571"/>
      <c r="K265" s="570"/>
      <c r="L265" s="570"/>
      <c r="M265" s="570"/>
      <c r="N265" s="572"/>
      <c r="O265" s="572"/>
      <c r="P265" s="570"/>
      <c r="Q265" s="570"/>
      <c r="R265" s="570"/>
      <c r="S265" s="570"/>
      <c r="T265" s="570"/>
      <c r="U265" s="570"/>
      <c r="V265" s="570"/>
      <c r="W265" s="570"/>
      <c r="X265" s="598"/>
    </row>
    <row r="266" spans="1:24">
      <c r="A266" s="594">
        <v>261</v>
      </c>
      <c r="B266" s="567"/>
      <c r="C266" s="598" t="s">
        <v>156</v>
      </c>
      <c r="D266" s="569"/>
      <c r="E266" s="570"/>
      <c r="F266" s="570"/>
      <c r="G266" s="570"/>
      <c r="H266" s="570"/>
      <c r="I266" s="571"/>
      <c r="J266" s="571"/>
      <c r="K266" s="570"/>
      <c r="L266" s="570"/>
      <c r="M266" s="570"/>
      <c r="N266" s="572"/>
      <c r="O266" s="572"/>
      <c r="P266" s="570"/>
      <c r="Q266" s="570"/>
      <c r="R266" s="570"/>
      <c r="S266" s="570"/>
      <c r="T266" s="570"/>
      <c r="U266" s="570"/>
      <c r="V266" s="570"/>
      <c r="W266" s="570"/>
      <c r="X266" s="598"/>
    </row>
    <row r="267" spans="1:24">
      <c r="A267" s="594">
        <v>262</v>
      </c>
      <c r="B267" s="567"/>
      <c r="C267" s="598" t="s">
        <v>156</v>
      </c>
      <c r="D267" s="569"/>
      <c r="E267" s="570"/>
      <c r="F267" s="570"/>
      <c r="G267" s="570"/>
      <c r="H267" s="570"/>
      <c r="I267" s="571"/>
      <c r="J267" s="571"/>
      <c r="K267" s="570"/>
      <c r="L267" s="570"/>
      <c r="M267" s="570"/>
      <c r="N267" s="572"/>
      <c r="O267" s="572"/>
      <c r="P267" s="570"/>
      <c r="Q267" s="570"/>
      <c r="R267" s="570"/>
      <c r="S267" s="570"/>
      <c r="T267" s="570"/>
      <c r="U267" s="570"/>
      <c r="V267" s="570"/>
      <c r="W267" s="570"/>
      <c r="X267" s="598"/>
    </row>
    <row r="268" spans="1:24">
      <c r="A268" s="594">
        <v>263</v>
      </c>
      <c r="B268" s="567"/>
      <c r="C268" s="598" t="s">
        <v>156</v>
      </c>
      <c r="D268" s="568"/>
      <c r="E268" s="568"/>
      <c r="F268" s="568"/>
      <c r="G268" s="568"/>
      <c r="H268" s="568"/>
      <c r="I268" s="568"/>
      <c r="J268" s="568"/>
      <c r="K268" s="568"/>
      <c r="L268" s="568"/>
      <c r="M268" s="568"/>
      <c r="N268" s="568"/>
      <c r="O268" s="568"/>
      <c r="P268" s="568"/>
      <c r="Q268" s="568"/>
      <c r="R268" s="568"/>
      <c r="S268" s="568"/>
      <c r="T268" s="568"/>
      <c r="U268" s="568"/>
      <c r="V268" s="568"/>
      <c r="W268" s="570"/>
      <c r="X268" s="598"/>
    </row>
    <row r="269" spans="1:24">
      <c r="A269" s="594">
        <v>264</v>
      </c>
      <c r="B269" s="567"/>
      <c r="C269" s="598" t="s">
        <v>156</v>
      </c>
      <c r="D269" s="568"/>
      <c r="E269" s="568"/>
      <c r="F269" s="568"/>
      <c r="G269" s="568"/>
      <c r="H269" s="568"/>
      <c r="I269" s="571"/>
      <c r="J269" s="571"/>
      <c r="K269" s="568"/>
      <c r="L269" s="568"/>
      <c r="M269" s="568"/>
      <c r="N269" s="568"/>
      <c r="O269" s="568"/>
      <c r="P269" s="568"/>
      <c r="Q269" s="568"/>
      <c r="R269" s="568"/>
      <c r="S269" s="568"/>
      <c r="T269" s="568"/>
      <c r="U269" s="568"/>
      <c r="V269" s="568"/>
      <c r="W269" s="570"/>
      <c r="X269" s="598"/>
    </row>
    <row r="270" spans="1:24">
      <c r="A270" s="594">
        <v>265</v>
      </c>
      <c r="B270" s="567"/>
      <c r="C270" s="598" t="s">
        <v>156</v>
      </c>
      <c r="D270" s="568"/>
      <c r="E270" s="568"/>
      <c r="F270" s="568"/>
      <c r="G270" s="568"/>
      <c r="H270" s="568"/>
      <c r="I270" s="571"/>
      <c r="J270" s="571"/>
      <c r="K270" s="568"/>
      <c r="L270" s="568"/>
      <c r="M270" s="568"/>
      <c r="N270" s="568"/>
      <c r="O270" s="568"/>
      <c r="P270" s="568"/>
      <c r="Q270" s="568"/>
      <c r="R270" s="568"/>
      <c r="S270" s="568"/>
      <c r="T270" s="568"/>
      <c r="U270" s="568"/>
      <c r="V270" s="568"/>
      <c r="W270" s="570"/>
      <c r="X270" s="598"/>
    </row>
    <row r="271" spans="1:24">
      <c r="A271" s="594">
        <v>266</v>
      </c>
      <c r="B271" s="567"/>
      <c r="C271" s="598" t="s">
        <v>156</v>
      </c>
      <c r="D271" s="568"/>
      <c r="E271" s="568"/>
      <c r="F271" s="568"/>
      <c r="G271" s="568"/>
      <c r="H271" s="568"/>
      <c r="I271" s="571"/>
      <c r="J271" s="571"/>
      <c r="K271" s="568"/>
      <c r="L271" s="568"/>
      <c r="M271" s="568"/>
      <c r="N271" s="568"/>
      <c r="O271" s="568"/>
      <c r="P271" s="568"/>
      <c r="Q271" s="568"/>
      <c r="R271" s="568"/>
      <c r="S271" s="568"/>
      <c r="T271" s="568"/>
      <c r="U271" s="568"/>
      <c r="V271" s="568"/>
      <c r="W271" s="570"/>
      <c r="X271" s="598"/>
    </row>
    <row r="272" spans="1:24">
      <c r="A272" s="594">
        <v>267</v>
      </c>
      <c r="B272" s="567"/>
      <c r="C272" s="598" t="s">
        <v>156</v>
      </c>
      <c r="D272" s="568"/>
      <c r="E272" s="568"/>
      <c r="F272" s="568"/>
      <c r="G272" s="568"/>
      <c r="H272" s="568"/>
      <c r="I272" s="571"/>
      <c r="J272" s="571"/>
      <c r="K272" s="568"/>
      <c r="L272" s="568"/>
      <c r="M272" s="568"/>
      <c r="N272" s="568"/>
      <c r="O272" s="568"/>
      <c r="P272" s="568"/>
      <c r="Q272" s="568"/>
      <c r="R272" s="568"/>
      <c r="S272" s="568"/>
      <c r="T272" s="568"/>
      <c r="U272" s="568"/>
      <c r="V272" s="568"/>
      <c r="W272" s="570"/>
      <c r="X272" s="598"/>
    </row>
    <row r="273" spans="1:24">
      <c r="A273" s="594">
        <v>268</v>
      </c>
      <c r="B273" s="567"/>
      <c r="C273" s="598" t="s">
        <v>156</v>
      </c>
      <c r="D273" s="568"/>
      <c r="E273" s="568"/>
      <c r="F273" s="568"/>
      <c r="G273" s="568"/>
      <c r="H273" s="568"/>
      <c r="I273" s="571"/>
      <c r="J273" s="571"/>
      <c r="K273" s="568"/>
      <c r="L273" s="568"/>
      <c r="M273" s="568"/>
      <c r="N273" s="568"/>
      <c r="O273" s="568"/>
      <c r="P273" s="568"/>
      <c r="Q273" s="568"/>
      <c r="R273" s="568"/>
      <c r="S273" s="568"/>
      <c r="T273" s="568"/>
      <c r="U273" s="568"/>
      <c r="V273" s="568"/>
      <c r="W273" s="570"/>
      <c r="X273" s="598"/>
    </row>
    <row r="274" spans="1:24">
      <c r="A274" s="594">
        <v>269</v>
      </c>
      <c r="B274" s="567"/>
      <c r="C274" s="598" t="s">
        <v>156</v>
      </c>
      <c r="D274" s="569"/>
      <c r="E274" s="570"/>
      <c r="F274" s="570"/>
      <c r="G274" s="570"/>
      <c r="H274" s="570"/>
      <c r="I274" s="571"/>
      <c r="J274" s="571"/>
      <c r="K274" s="570"/>
      <c r="L274" s="570"/>
      <c r="M274" s="570"/>
      <c r="N274" s="572"/>
      <c r="O274" s="572"/>
      <c r="P274" s="570"/>
      <c r="Q274" s="570"/>
      <c r="R274" s="570"/>
      <c r="S274" s="570"/>
      <c r="T274" s="570"/>
      <c r="U274" s="570"/>
      <c r="V274" s="570"/>
      <c r="W274" s="570"/>
      <c r="X274" s="598"/>
    </row>
    <row r="275" spans="1:24">
      <c r="A275" s="594">
        <v>270</v>
      </c>
      <c r="B275" s="567"/>
      <c r="C275" s="598" t="s">
        <v>156</v>
      </c>
      <c r="D275" s="569"/>
      <c r="E275" s="570"/>
      <c r="F275" s="570"/>
      <c r="G275" s="570"/>
      <c r="H275" s="570"/>
      <c r="I275" s="571"/>
      <c r="J275" s="571"/>
      <c r="K275" s="570"/>
      <c r="L275" s="570"/>
      <c r="M275" s="570"/>
      <c r="N275" s="572"/>
      <c r="O275" s="572"/>
      <c r="P275" s="570"/>
      <c r="Q275" s="570"/>
      <c r="R275" s="570"/>
      <c r="S275" s="570"/>
      <c r="T275" s="570"/>
      <c r="U275" s="570"/>
      <c r="V275" s="570"/>
      <c r="W275" s="570"/>
      <c r="X275" s="598"/>
    </row>
    <row r="276" spans="1:24">
      <c r="A276" s="594">
        <v>271</v>
      </c>
      <c r="B276" s="567"/>
      <c r="C276" s="598" t="s">
        <v>156</v>
      </c>
      <c r="D276" s="569"/>
      <c r="E276" s="570"/>
      <c r="F276" s="570"/>
      <c r="G276" s="570"/>
      <c r="H276" s="570"/>
      <c r="I276" s="571"/>
      <c r="J276" s="571"/>
      <c r="K276" s="570"/>
      <c r="L276" s="570"/>
      <c r="M276" s="570"/>
      <c r="N276" s="572"/>
      <c r="O276" s="572"/>
      <c r="P276" s="570"/>
      <c r="Q276" s="570"/>
      <c r="R276" s="570"/>
      <c r="S276" s="570"/>
      <c r="T276" s="570"/>
      <c r="U276" s="570"/>
      <c r="V276" s="570"/>
      <c r="W276" s="570"/>
      <c r="X276" s="598"/>
    </row>
    <row r="277" spans="1:24">
      <c r="A277" s="594">
        <v>272</v>
      </c>
      <c r="B277" s="567"/>
      <c r="C277" s="598" t="s">
        <v>156</v>
      </c>
      <c r="D277" s="569"/>
      <c r="E277" s="570"/>
      <c r="F277" s="570"/>
      <c r="G277" s="570"/>
      <c r="H277" s="570"/>
      <c r="I277" s="571"/>
      <c r="J277" s="571"/>
      <c r="K277" s="570"/>
      <c r="L277" s="570"/>
      <c r="M277" s="570"/>
      <c r="N277" s="572"/>
      <c r="O277" s="572"/>
      <c r="P277" s="570"/>
      <c r="Q277" s="570"/>
      <c r="R277" s="570"/>
      <c r="S277" s="570"/>
      <c r="T277" s="570"/>
      <c r="U277" s="570"/>
      <c r="V277" s="570"/>
      <c r="W277" s="570"/>
      <c r="X277" s="598"/>
    </row>
    <row r="278" spans="1:24">
      <c r="A278" s="594">
        <v>273</v>
      </c>
      <c r="B278" s="567"/>
      <c r="C278" s="598" t="s">
        <v>156</v>
      </c>
      <c r="D278" s="569"/>
      <c r="E278" s="570"/>
      <c r="F278" s="570"/>
      <c r="G278" s="570"/>
      <c r="H278" s="570"/>
      <c r="I278" s="571"/>
      <c r="J278" s="571"/>
      <c r="K278" s="570"/>
      <c r="L278" s="570"/>
      <c r="M278" s="570"/>
      <c r="N278" s="572"/>
      <c r="O278" s="572"/>
      <c r="P278" s="570"/>
      <c r="Q278" s="570"/>
      <c r="R278" s="570"/>
      <c r="S278" s="570"/>
      <c r="T278" s="570"/>
      <c r="U278" s="570"/>
      <c r="V278" s="570"/>
      <c r="W278" s="570"/>
      <c r="X278" s="598"/>
    </row>
    <row r="279" spans="1:24">
      <c r="A279" s="594">
        <v>274</v>
      </c>
      <c r="B279" s="567"/>
      <c r="C279" s="598" t="s">
        <v>156</v>
      </c>
      <c r="D279" s="569"/>
      <c r="E279" s="570"/>
      <c r="F279" s="570"/>
      <c r="G279" s="570"/>
      <c r="H279" s="570"/>
      <c r="I279" s="571"/>
      <c r="J279" s="571"/>
      <c r="K279" s="570"/>
      <c r="L279" s="570"/>
      <c r="M279" s="570"/>
      <c r="N279" s="572"/>
      <c r="O279" s="572"/>
      <c r="P279" s="570"/>
      <c r="Q279" s="570"/>
      <c r="R279" s="570"/>
      <c r="S279" s="570"/>
      <c r="T279" s="570"/>
      <c r="U279" s="570"/>
      <c r="V279" s="570"/>
      <c r="W279" s="570"/>
      <c r="X279" s="598"/>
    </row>
    <row r="280" spans="1:24">
      <c r="A280" s="594">
        <v>275</v>
      </c>
      <c r="B280" s="567"/>
      <c r="C280" s="598" t="s">
        <v>156</v>
      </c>
      <c r="D280" s="569"/>
      <c r="E280" s="570"/>
      <c r="F280" s="570"/>
      <c r="G280" s="570"/>
      <c r="H280" s="570"/>
      <c r="I280" s="571"/>
      <c r="J280" s="571"/>
      <c r="K280" s="570"/>
      <c r="L280" s="570"/>
      <c r="M280" s="570"/>
      <c r="N280" s="572"/>
      <c r="O280" s="572"/>
      <c r="P280" s="570"/>
      <c r="Q280" s="570"/>
      <c r="R280" s="570"/>
      <c r="S280" s="570"/>
      <c r="T280" s="570"/>
      <c r="U280" s="570"/>
      <c r="V280" s="570"/>
      <c r="W280" s="570"/>
      <c r="X280" s="598"/>
    </row>
    <row r="281" spans="1:24">
      <c r="A281" s="594">
        <v>276</v>
      </c>
      <c r="B281" s="567"/>
      <c r="C281" s="598" t="s">
        <v>156</v>
      </c>
      <c r="D281" s="569"/>
      <c r="E281" s="570"/>
      <c r="F281" s="570"/>
      <c r="G281" s="570"/>
      <c r="H281" s="570"/>
      <c r="I281" s="571"/>
      <c r="J281" s="571"/>
      <c r="K281" s="570"/>
      <c r="L281" s="570"/>
      <c r="M281" s="570"/>
      <c r="N281" s="572"/>
      <c r="O281" s="572"/>
      <c r="P281" s="570"/>
      <c r="Q281" s="570"/>
      <c r="R281" s="570"/>
      <c r="S281" s="570"/>
      <c r="T281" s="570"/>
      <c r="U281" s="570"/>
      <c r="V281" s="570"/>
      <c r="W281" s="570"/>
      <c r="X281" s="598"/>
    </row>
    <row r="282" spans="1:24">
      <c r="A282" s="594">
        <v>277</v>
      </c>
      <c r="B282" s="567"/>
      <c r="C282" s="598" t="s">
        <v>156</v>
      </c>
      <c r="D282" s="569"/>
      <c r="E282" s="570"/>
      <c r="F282" s="570"/>
      <c r="G282" s="570"/>
      <c r="H282" s="570"/>
      <c r="I282" s="571"/>
      <c r="J282" s="571"/>
      <c r="K282" s="570"/>
      <c r="L282" s="570"/>
      <c r="M282" s="570"/>
      <c r="N282" s="572"/>
      <c r="O282" s="572"/>
      <c r="P282" s="570"/>
      <c r="Q282" s="570"/>
      <c r="R282" s="570"/>
      <c r="S282" s="570"/>
      <c r="T282" s="570"/>
      <c r="U282" s="570"/>
      <c r="V282" s="570"/>
      <c r="W282" s="570"/>
      <c r="X282" s="601"/>
    </row>
    <row r="283" spans="1:24">
      <c r="A283" s="594">
        <v>278</v>
      </c>
      <c r="B283" s="567"/>
      <c r="C283" s="598" t="s">
        <v>156</v>
      </c>
      <c r="D283" s="569"/>
      <c r="E283" s="570"/>
      <c r="F283" s="570"/>
      <c r="G283" s="570"/>
      <c r="H283" s="570"/>
      <c r="I283" s="571"/>
      <c r="J283" s="571"/>
      <c r="K283" s="570"/>
      <c r="L283" s="570"/>
      <c r="M283" s="570"/>
      <c r="N283" s="572"/>
      <c r="O283" s="572"/>
      <c r="P283" s="570"/>
      <c r="Q283" s="570"/>
      <c r="R283" s="570"/>
      <c r="S283" s="570"/>
      <c r="T283" s="570"/>
      <c r="U283" s="570"/>
      <c r="V283" s="570"/>
      <c r="W283" s="570"/>
      <c r="X283" s="601"/>
    </row>
    <row r="284" spans="1:24">
      <c r="A284" s="594">
        <v>279</v>
      </c>
      <c r="B284" s="567"/>
      <c r="C284" s="598" t="s">
        <v>156</v>
      </c>
      <c r="D284" s="569"/>
      <c r="E284" s="570"/>
      <c r="F284" s="570"/>
      <c r="G284" s="570"/>
      <c r="H284" s="570"/>
      <c r="I284" s="571"/>
      <c r="J284" s="571"/>
      <c r="K284" s="570"/>
      <c r="L284" s="570"/>
      <c r="M284" s="570"/>
      <c r="N284" s="572"/>
      <c r="O284" s="572"/>
      <c r="P284" s="570"/>
      <c r="Q284" s="570"/>
      <c r="R284" s="570"/>
      <c r="S284" s="570"/>
      <c r="T284" s="570"/>
      <c r="U284" s="570"/>
      <c r="V284" s="570"/>
      <c r="W284" s="570"/>
      <c r="X284" s="601"/>
    </row>
    <row r="285" spans="1:24">
      <c r="A285" s="594">
        <v>280</v>
      </c>
      <c r="B285" s="567"/>
      <c r="C285" s="598" t="s">
        <v>156</v>
      </c>
      <c r="D285" s="569"/>
      <c r="E285" s="570"/>
      <c r="F285" s="570"/>
      <c r="G285" s="570"/>
      <c r="H285" s="570"/>
      <c r="I285" s="571"/>
      <c r="J285" s="571"/>
      <c r="K285" s="570"/>
      <c r="L285" s="570"/>
      <c r="M285" s="570"/>
      <c r="N285" s="572"/>
      <c r="O285" s="572"/>
      <c r="P285" s="570"/>
      <c r="Q285" s="570"/>
      <c r="R285" s="570"/>
      <c r="S285" s="570"/>
      <c r="T285" s="570"/>
      <c r="U285" s="570"/>
      <c r="V285" s="570"/>
      <c r="W285" s="570"/>
      <c r="X285" s="601"/>
    </row>
    <row r="286" spans="1:24">
      <c r="A286" s="594">
        <v>281</v>
      </c>
      <c r="B286" s="597"/>
      <c r="C286" s="598" t="s">
        <v>156</v>
      </c>
      <c r="D286" s="599"/>
      <c r="E286" s="600"/>
      <c r="F286" s="600"/>
      <c r="G286" s="600"/>
      <c r="H286" s="600"/>
      <c r="I286" s="601"/>
      <c r="J286" s="601"/>
      <c r="K286" s="600"/>
      <c r="L286" s="600"/>
      <c r="M286" s="600"/>
      <c r="N286" s="602"/>
      <c r="O286" s="602"/>
      <c r="P286" s="600"/>
      <c r="Q286" s="600"/>
      <c r="R286" s="600"/>
      <c r="S286" s="600"/>
      <c r="T286" s="600"/>
      <c r="U286" s="600"/>
      <c r="V286" s="600"/>
      <c r="W286" s="600"/>
      <c r="X286" s="601"/>
    </row>
    <row r="287" spans="1:24">
      <c r="A287" s="594">
        <v>282</v>
      </c>
      <c r="B287" s="597"/>
      <c r="C287" s="598" t="s">
        <v>156</v>
      </c>
      <c r="D287" s="599"/>
      <c r="E287" s="600"/>
      <c r="F287" s="600"/>
      <c r="G287" s="600"/>
      <c r="H287" s="600"/>
      <c r="I287" s="601"/>
      <c r="J287" s="601"/>
      <c r="K287" s="600"/>
      <c r="L287" s="600"/>
      <c r="M287" s="600"/>
      <c r="N287" s="602"/>
      <c r="O287" s="602"/>
      <c r="P287" s="600"/>
      <c r="Q287" s="600"/>
      <c r="R287" s="600"/>
      <c r="S287" s="600"/>
      <c r="T287" s="600"/>
      <c r="U287" s="600"/>
      <c r="V287" s="600"/>
      <c r="W287" s="600"/>
      <c r="X287" s="601"/>
    </row>
    <row r="288" spans="1:24">
      <c r="A288" s="594">
        <v>283</v>
      </c>
      <c r="B288" s="597"/>
      <c r="C288" s="598" t="s">
        <v>156</v>
      </c>
      <c r="D288" s="599"/>
      <c r="E288" s="600"/>
      <c r="F288" s="600"/>
      <c r="G288" s="600"/>
      <c r="H288" s="600"/>
      <c r="I288" s="601"/>
      <c r="J288" s="601"/>
      <c r="K288" s="600"/>
      <c r="L288" s="600"/>
      <c r="M288" s="600"/>
      <c r="N288" s="602"/>
      <c r="O288" s="602"/>
      <c r="P288" s="600"/>
      <c r="Q288" s="600"/>
      <c r="R288" s="600"/>
      <c r="S288" s="600"/>
      <c r="T288" s="600"/>
      <c r="U288" s="600"/>
      <c r="V288" s="600"/>
      <c r="W288" s="600"/>
      <c r="X288" s="601"/>
    </row>
    <row r="289" spans="1:24">
      <c r="A289" s="594">
        <v>284</v>
      </c>
      <c r="B289" s="597"/>
      <c r="C289" s="598" t="s">
        <v>156</v>
      </c>
      <c r="D289" s="599"/>
      <c r="E289" s="600"/>
      <c r="F289" s="600"/>
      <c r="G289" s="600"/>
      <c r="H289" s="600"/>
      <c r="I289" s="601"/>
      <c r="J289" s="601"/>
      <c r="K289" s="600"/>
      <c r="L289" s="600"/>
      <c r="M289" s="600"/>
      <c r="N289" s="602"/>
      <c r="O289" s="602"/>
      <c r="P289" s="600"/>
      <c r="Q289" s="600"/>
      <c r="R289" s="600"/>
      <c r="S289" s="600"/>
      <c r="T289" s="600"/>
      <c r="U289" s="600"/>
      <c r="V289" s="600"/>
      <c r="W289" s="600"/>
      <c r="X289" s="601"/>
    </row>
    <row r="290" spans="1:24">
      <c r="A290" s="594">
        <v>285</v>
      </c>
      <c r="B290" s="597"/>
      <c r="C290" s="598" t="s">
        <v>156</v>
      </c>
      <c r="D290" s="599"/>
      <c r="E290" s="600"/>
      <c r="F290" s="600"/>
      <c r="G290" s="600"/>
      <c r="H290" s="600"/>
      <c r="I290" s="601"/>
      <c r="J290" s="601"/>
      <c r="K290" s="600"/>
      <c r="L290" s="600"/>
      <c r="M290" s="600"/>
      <c r="N290" s="602"/>
      <c r="O290" s="602"/>
      <c r="P290" s="600"/>
      <c r="Q290" s="600"/>
      <c r="R290" s="600"/>
      <c r="S290" s="600"/>
      <c r="T290" s="600"/>
      <c r="U290" s="600"/>
      <c r="V290" s="600"/>
      <c r="W290" s="600"/>
      <c r="X290" s="601"/>
    </row>
    <row r="291" spans="1:24">
      <c r="A291" s="594">
        <v>286</v>
      </c>
      <c r="B291" s="597"/>
      <c r="C291" s="598" t="s">
        <v>156</v>
      </c>
      <c r="D291" s="599"/>
      <c r="E291" s="600"/>
      <c r="F291" s="600"/>
      <c r="G291" s="600"/>
      <c r="H291" s="600"/>
      <c r="I291" s="601"/>
      <c r="J291" s="601"/>
      <c r="K291" s="600"/>
      <c r="L291" s="600"/>
      <c r="M291" s="600"/>
      <c r="N291" s="602"/>
      <c r="O291" s="602"/>
      <c r="P291" s="600"/>
      <c r="Q291" s="600"/>
      <c r="R291" s="600"/>
      <c r="S291" s="600"/>
      <c r="T291" s="600"/>
      <c r="U291" s="600"/>
      <c r="V291" s="600"/>
      <c r="W291" s="600"/>
      <c r="X291" s="601"/>
    </row>
    <row r="292" spans="1:24">
      <c r="A292" s="594">
        <v>287</v>
      </c>
      <c r="B292" s="597"/>
      <c r="C292" s="598" t="s">
        <v>156</v>
      </c>
      <c r="D292" s="599"/>
      <c r="E292" s="600"/>
      <c r="F292" s="600"/>
      <c r="G292" s="600"/>
      <c r="H292" s="600"/>
      <c r="I292" s="601"/>
      <c r="J292" s="601"/>
      <c r="K292" s="600"/>
      <c r="L292" s="600"/>
      <c r="M292" s="600"/>
      <c r="N292" s="602"/>
      <c r="O292" s="602"/>
      <c r="P292" s="600"/>
      <c r="Q292" s="600"/>
      <c r="R292" s="600"/>
      <c r="S292" s="600"/>
      <c r="T292" s="600"/>
      <c r="U292" s="600"/>
      <c r="V292" s="600"/>
      <c r="W292" s="600"/>
      <c r="X292" s="601">
        <v>1.43</v>
      </c>
    </row>
    <row r="293" spans="1:24">
      <c r="A293" s="594">
        <v>288</v>
      </c>
      <c r="B293" s="597"/>
      <c r="C293" s="598" t="s">
        <v>156</v>
      </c>
      <c r="D293" s="599"/>
      <c r="E293" s="600"/>
      <c r="F293" s="600"/>
      <c r="G293" s="600"/>
      <c r="H293" s="600"/>
      <c r="I293" s="601"/>
      <c r="J293" s="601"/>
      <c r="K293" s="600"/>
      <c r="L293" s="600"/>
      <c r="M293" s="600"/>
      <c r="N293" s="602"/>
      <c r="O293" s="602"/>
      <c r="P293" s="600"/>
      <c r="Q293" s="600"/>
      <c r="R293" s="600"/>
      <c r="S293" s="600"/>
      <c r="T293" s="600"/>
      <c r="U293" s="600"/>
      <c r="V293" s="600"/>
      <c r="W293" s="600"/>
      <c r="X293" s="601">
        <v>1.34</v>
      </c>
    </row>
    <row r="294" spans="1:24">
      <c r="A294" s="594">
        <v>289</v>
      </c>
      <c r="B294" s="597"/>
      <c r="C294" s="598" t="s">
        <v>156</v>
      </c>
      <c r="D294" s="599"/>
      <c r="E294" s="600"/>
      <c r="F294" s="600"/>
      <c r="G294" s="600"/>
      <c r="H294" s="600"/>
      <c r="I294" s="601"/>
      <c r="J294" s="601"/>
      <c r="K294" s="600"/>
      <c r="L294" s="600"/>
      <c r="M294" s="600"/>
      <c r="N294" s="602"/>
      <c r="O294" s="602"/>
      <c r="P294" s="600"/>
      <c r="Q294" s="600"/>
      <c r="R294" s="600"/>
      <c r="S294" s="600"/>
      <c r="T294" s="600"/>
      <c r="U294" s="600"/>
      <c r="V294" s="600"/>
      <c r="W294" s="600"/>
      <c r="X294" s="601">
        <v>1.62</v>
      </c>
    </row>
    <row r="295" spans="1:24">
      <c r="A295" s="594">
        <v>290</v>
      </c>
      <c r="B295" s="597"/>
      <c r="C295" s="598" t="s">
        <v>156</v>
      </c>
      <c r="D295" s="599"/>
      <c r="E295" s="600"/>
      <c r="F295" s="600"/>
      <c r="G295" s="600"/>
      <c r="H295" s="600"/>
      <c r="I295" s="601"/>
      <c r="J295" s="601"/>
      <c r="K295" s="600"/>
      <c r="L295" s="600"/>
      <c r="M295" s="600"/>
      <c r="N295" s="602"/>
      <c r="O295" s="602"/>
      <c r="P295" s="600"/>
      <c r="Q295" s="600"/>
      <c r="R295" s="600"/>
      <c r="S295" s="600"/>
      <c r="T295" s="600"/>
      <c r="U295" s="600"/>
      <c r="V295" s="600"/>
      <c r="W295" s="600"/>
      <c r="X295" s="601">
        <v>1.3</v>
      </c>
    </row>
    <row r="296" spans="1:24">
      <c r="A296" s="594">
        <v>291</v>
      </c>
      <c r="B296" s="597"/>
      <c r="C296" s="598" t="s">
        <v>156</v>
      </c>
      <c r="D296" s="599"/>
      <c r="E296" s="600"/>
      <c r="F296" s="600"/>
      <c r="G296" s="600"/>
      <c r="H296" s="600"/>
      <c r="I296" s="601"/>
      <c r="J296" s="601"/>
      <c r="K296" s="600"/>
      <c r="L296" s="600"/>
      <c r="M296" s="600"/>
      <c r="N296" s="602"/>
      <c r="O296" s="602"/>
      <c r="P296" s="600"/>
      <c r="Q296" s="600"/>
      <c r="S296" s="600"/>
      <c r="T296" s="600"/>
      <c r="U296" s="600"/>
      <c r="V296" s="600"/>
      <c r="W296" s="600"/>
      <c r="X296" s="601">
        <v>1.52</v>
      </c>
    </row>
    <row r="297" spans="1:24">
      <c r="A297" s="594">
        <v>292</v>
      </c>
      <c r="B297" s="597"/>
      <c r="C297" s="598" t="s">
        <v>156</v>
      </c>
      <c r="D297" s="599"/>
      <c r="E297" s="600"/>
      <c r="F297" s="600"/>
      <c r="G297" s="600"/>
      <c r="H297" s="600"/>
      <c r="I297" s="601"/>
      <c r="J297" s="601"/>
      <c r="K297" s="600"/>
      <c r="L297" s="600"/>
      <c r="M297" s="600"/>
      <c r="N297" s="602"/>
      <c r="O297" s="602"/>
      <c r="P297" s="600"/>
      <c r="Q297" s="600"/>
      <c r="R297" s="600"/>
      <c r="S297" s="600"/>
      <c r="T297" s="600"/>
      <c r="U297" s="600"/>
      <c r="V297" s="600"/>
      <c r="W297" s="600"/>
    </row>
    <row r="298" spans="1:24">
      <c r="A298" s="594">
        <v>293</v>
      </c>
      <c r="B298" s="597"/>
      <c r="C298" s="598" t="s">
        <v>156</v>
      </c>
      <c r="D298" s="599"/>
      <c r="E298" s="600"/>
      <c r="F298" s="600"/>
      <c r="G298" s="600"/>
      <c r="H298" s="600"/>
      <c r="I298" s="601"/>
      <c r="J298" s="601"/>
      <c r="K298" s="600"/>
      <c r="L298" s="600"/>
      <c r="M298" s="600"/>
      <c r="N298" s="602"/>
      <c r="O298" s="602"/>
      <c r="P298" s="600"/>
      <c r="Q298" s="600"/>
      <c r="R298" s="600"/>
      <c r="S298" s="600"/>
      <c r="T298" s="600"/>
      <c r="U298" s="600"/>
      <c r="V298" s="600"/>
      <c r="W298" s="600"/>
    </row>
    <row r="299" spans="1:24">
      <c r="A299" s="594">
        <v>294</v>
      </c>
      <c r="B299" s="597"/>
      <c r="C299" s="598" t="s">
        <v>156</v>
      </c>
      <c r="D299" s="599"/>
      <c r="E299" s="600"/>
      <c r="F299" s="600"/>
      <c r="G299" s="600"/>
      <c r="H299" s="600"/>
      <c r="I299" s="601"/>
      <c r="J299" s="601"/>
      <c r="K299" s="600"/>
      <c r="L299" s="600"/>
      <c r="M299" s="600"/>
      <c r="N299" s="602"/>
      <c r="O299" s="602"/>
      <c r="P299" s="600"/>
      <c r="Q299" s="600"/>
      <c r="R299" s="600"/>
      <c r="S299" s="600"/>
      <c r="T299" s="600"/>
      <c r="U299" s="600"/>
      <c r="V299" s="600"/>
      <c r="W299" s="600"/>
    </row>
    <row r="300" spans="1:24">
      <c r="A300" s="594">
        <v>295</v>
      </c>
      <c r="B300" s="597"/>
      <c r="C300" s="598" t="s">
        <v>156</v>
      </c>
      <c r="D300" s="599"/>
      <c r="E300" s="600"/>
      <c r="F300" s="600"/>
      <c r="G300" s="600"/>
      <c r="H300" s="600"/>
      <c r="I300" s="601"/>
      <c r="J300" s="601"/>
      <c r="K300" s="600"/>
      <c r="L300" s="600"/>
      <c r="M300" s="600"/>
      <c r="N300" s="602"/>
      <c r="O300" s="602"/>
      <c r="P300" s="600"/>
      <c r="Q300" s="600"/>
      <c r="R300" s="600"/>
      <c r="S300" s="600"/>
      <c r="T300" s="600"/>
      <c r="U300" s="600"/>
      <c r="V300" s="600"/>
      <c r="W300" s="600"/>
    </row>
    <row r="301" spans="1:24">
      <c r="A301" s="594">
        <v>296</v>
      </c>
      <c r="B301" s="597"/>
      <c r="C301" s="598" t="s">
        <v>156</v>
      </c>
      <c r="D301" s="599"/>
      <c r="E301" s="600"/>
      <c r="F301" s="600"/>
      <c r="G301" s="600"/>
      <c r="H301" s="600"/>
      <c r="I301" s="601"/>
      <c r="J301" s="601"/>
      <c r="K301" s="600"/>
      <c r="L301" s="600"/>
      <c r="M301" s="600"/>
      <c r="N301" s="602"/>
      <c r="O301" s="602"/>
      <c r="P301" s="600"/>
      <c r="Q301" s="600"/>
      <c r="R301" s="600"/>
      <c r="S301" s="600"/>
      <c r="T301" s="600"/>
      <c r="U301" s="600"/>
      <c r="V301" s="600"/>
      <c r="W301" s="600"/>
    </row>
    <row r="302" spans="1:24">
      <c r="A302" s="594">
        <v>297</v>
      </c>
      <c r="B302" s="597"/>
      <c r="C302" s="598" t="s">
        <v>156</v>
      </c>
      <c r="D302" s="599"/>
      <c r="E302" s="600"/>
      <c r="F302" s="600"/>
      <c r="G302" s="600"/>
      <c r="H302" s="600"/>
      <c r="I302" s="601"/>
      <c r="J302" s="601"/>
      <c r="K302" s="600"/>
      <c r="L302" s="600"/>
      <c r="M302" s="600"/>
      <c r="N302" s="602"/>
      <c r="O302" s="602"/>
      <c r="P302" s="600"/>
      <c r="Q302" s="600"/>
      <c r="R302" s="600"/>
      <c r="S302" s="600"/>
      <c r="T302" s="600"/>
      <c r="U302" s="600"/>
      <c r="V302" s="600"/>
      <c r="W302" s="600"/>
    </row>
    <row r="303" spans="1:24">
      <c r="A303" s="594">
        <v>298</v>
      </c>
      <c r="B303" s="597"/>
      <c r="C303" s="598" t="s">
        <v>156</v>
      </c>
      <c r="D303" s="599"/>
      <c r="E303" s="600"/>
      <c r="F303" s="600"/>
      <c r="G303" s="600"/>
      <c r="H303" s="600"/>
      <c r="I303" s="601"/>
      <c r="J303" s="601"/>
      <c r="K303" s="600"/>
      <c r="L303" s="600"/>
      <c r="M303" s="600"/>
      <c r="N303" s="602"/>
      <c r="O303" s="602"/>
      <c r="P303" s="600"/>
      <c r="Q303" s="600"/>
      <c r="R303" s="600"/>
      <c r="S303" s="600"/>
      <c r="T303" s="600"/>
      <c r="U303" s="600"/>
      <c r="V303" s="600"/>
      <c r="W303" s="600"/>
    </row>
    <row r="304" spans="1:24">
      <c r="A304" s="594">
        <v>299</v>
      </c>
      <c r="B304" s="597"/>
      <c r="C304" s="598" t="s">
        <v>156</v>
      </c>
      <c r="D304" s="599"/>
      <c r="E304" s="600"/>
      <c r="F304" s="600"/>
      <c r="G304" s="600"/>
      <c r="H304" s="600"/>
      <c r="I304" s="601"/>
      <c r="J304" s="601"/>
      <c r="K304" s="600"/>
      <c r="L304" s="600"/>
      <c r="M304" s="600"/>
      <c r="N304" s="602"/>
      <c r="O304" s="602"/>
      <c r="P304" s="600"/>
      <c r="Q304" s="600"/>
      <c r="R304" s="600"/>
      <c r="S304" s="600"/>
      <c r="T304" s="600"/>
      <c r="U304" s="600"/>
      <c r="V304" s="600"/>
      <c r="W304" s="600"/>
    </row>
    <row r="305" spans="1:23">
      <c r="A305" s="594">
        <v>300</v>
      </c>
      <c r="B305" s="597"/>
      <c r="C305" s="598" t="s">
        <v>156</v>
      </c>
      <c r="D305" s="599"/>
      <c r="E305" s="600"/>
      <c r="F305" s="600"/>
      <c r="G305" s="600"/>
      <c r="H305" s="600"/>
      <c r="I305" s="601"/>
      <c r="J305" s="601"/>
      <c r="K305" s="600"/>
      <c r="L305" s="600"/>
      <c r="M305" s="600"/>
      <c r="N305" s="602"/>
      <c r="O305" s="602"/>
      <c r="P305" s="600"/>
      <c r="Q305" s="600"/>
      <c r="R305" s="600"/>
      <c r="S305" s="600"/>
      <c r="T305" s="600"/>
      <c r="U305" s="600"/>
      <c r="V305" s="600"/>
      <c r="W305" s="600"/>
    </row>
    <row r="306" spans="1:23">
      <c r="A306" s="594">
        <v>301</v>
      </c>
      <c r="B306" s="597"/>
      <c r="C306" s="598" t="s">
        <v>156</v>
      </c>
      <c r="D306" s="599"/>
      <c r="E306" s="600"/>
      <c r="F306" s="600"/>
      <c r="G306" s="600"/>
      <c r="H306" s="600"/>
      <c r="I306" s="601"/>
      <c r="J306" s="601"/>
      <c r="K306" s="600"/>
      <c r="L306" s="600"/>
      <c r="M306" s="600"/>
      <c r="N306" s="602"/>
      <c r="O306" s="602"/>
      <c r="P306" s="600"/>
      <c r="Q306" s="600"/>
      <c r="R306" s="600"/>
      <c r="S306" s="600"/>
      <c r="T306" s="600"/>
      <c r="U306" s="600"/>
      <c r="V306" s="600"/>
      <c r="W306" s="600"/>
    </row>
    <row r="307" spans="1:23">
      <c r="A307" s="594">
        <v>302</v>
      </c>
      <c r="B307" s="597"/>
      <c r="C307" s="598" t="s">
        <v>156</v>
      </c>
      <c r="D307" s="599"/>
      <c r="E307" s="600"/>
      <c r="F307" s="600"/>
      <c r="G307" s="600"/>
      <c r="H307" s="600"/>
      <c r="I307" s="601"/>
      <c r="J307" s="601"/>
      <c r="K307" s="600"/>
      <c r="L307" s="600"/>
      <c r="M307" s="600"/>
      <c r="N307" s="602"/>
      <c r="O307" s="602"/>
      <c r="P307" s="600"/>
      <c r="Q307" s="600"/>
      <c r="R307" s="600"/>
      <c r="S307" s="600"/>
      <c r="T307" s="600"/>
      <c r="U307" s="600"/>
      <c r="V307" s="600"/>
      <c r="W307" s="600"/>
    </row>
    <row r="308" spans="1:23">
      <c r="A308" s="594">
        <v>303</v>
      </c>
      <c r="B308" s="597"/>
      <c r="C308" s="598" t="s">
        <v>156</v>
      </c>
      <c r="D308" s="599"/>
      <c r="E308" s="600"/>
      <c r="F308" s="600"/>
      <c r="G308" s="600"/>
      <c r="H308" s="600"/>
      <c r="I308" s="601"/>
      <c r="J308" s="601"/>
      <c r="K308" s="600"/>
      <c r="L308" s="600"/>
      <c r="M308" s="600"/>
      <c r="N308" s="602"/>
      <c r="O308" s="602"/>
      <c r="P308" s="600"/>
      <c r="Q308" s="600"/>
      <c r="R308" s="600"/>
      <c r="S308" s="600"/>
      <c r="T308" s="600"/>
      <c r="U308" s="600"/>
      <c r="V308" s="600"/>
      <c r="W308" s="600"/>
    </row>
    <row r="309" spans="1:23">
      <c r="A309" s="594">
        <v>304</v>
      </c>
      <c r="B309" s="597"/>
      <c r="C309" s="598" t="s">
        <v>156</v>
      </c>
      <c r="D309" s="599"/>
      <c r="E309" s="600"/>
      <c r="F309" s="600"/>
      <c r="G309" s="600"/>
      <c r="H309" s="600"/>
      <c r="I309" s="601"/>
      <c r="J309" s="601"/>
      <c r="K309" s="600"/>
      <c r="L309" s="600"/>
      <c r="M309" s="600"/>
      <c r="N309" s="602"/>
      <c r="O309" s="602"/>
      <c r="P309" s="600"/>
      <c r="Q309" s="600"/>
      <c r="R309" s="600"/>
      <c r="S309" s="600"/>
      <c r="T309" s="600"/>
      <c r="U309" s="600"/>
      <c r="V309" s="600"/>
      <c r="W309" s="600"/>
    </row>
    <row r="310" spans="1:23">
      <c r="A310" s="594">
        <v>305</v>
      </c>
      <c r="B310" s="597"/>
      <c r="C310" s="598" t="s">
        <v>156</v>
      </c>
      <c r="D310" s="599"/>
      <c r="E310" s="600"/>
      <c r="F310" s="600"/>
      <c r="G310" s="600"/>
      <c r="H310" s="600"/>
      <c r="I310" s="601"/>
      <c r="J310" s="601"/>
      <c r="K310" s="600"/>
      <c r="L310" s="600"/>
      <c r="M310" s="600"/>
      <c r="N310" s="602"/>
      <c r="O310" s="602"/>
      <c r="P310" s="600"/>
      <c r="Q310" s="600"/>
      <c r="R310" s="600"/>
      <c r="S310" s="600"/>
      <c r="T310" s="600"/>
      <c r="U310" s="600"/>
      <c r="V310" s="600"/>
      <c r="W310" s="600"/>
    </row>
    <row r="311" spans="1:23">
      <c r="A311" s="594">
        <v>306</v>
      </c>
      <c r="B311" s="597"/>
      <c r="C311" s="598" t="s">
        <v>156</v>
      </c>
      <c r="D311" s="599"/>
      <c r="E311" s="600"/>
      <c r="F311" s="600"/>
      <c r="G311" s="600"/>
      <c r="H311" s="600"/>
      <c r="I311" s="601"/>
      <c r="J311" s="601"/>
      <c r="K311" s="600"/>
      <c r="L311" s="600"/>
      <c r="M311" s="600"/>
      <c r="N311" s="602"/>
      <c r="O311" s="602"/>
      <c r="P311" s="600"/>
      <c r="Q311" s="600"/>
      <c r="R311" s="600"/>
      <c r="S311" s="600"/>
      <c r="T311" s="600"/>
      <c r="U311" s="600"/>
      <c r="V311" s="600"/>
      <c r="W311" s="600"/>
    </row>
    <row r="312" spans="1:23">
      <c r="A312" s="594">
        <v>307</v>
      </c>
      <c r="B312" s="597"/>
      <c r="C312" s="598" t="s">
        <v>156</v>
      </c>
      <c r="D312" s="599"/>
      <c r="E312" s="600"/>
      <c r="F312" s="600"/>
      <c r="G312" s="600"/>
      <c r="H312" s="600"/>
      <c r="I312" s="601"/>
      <c r="J312" s="601"/>
      <c r="K312" s="600"/>
      <c r="L312" s="600"/>
      <c r="M312" s="600"/>
      <c r="N312" s="602"/>
      <c r="O312" s="602"/>
      <c r="P312" s="600"/>
      <c r="Q312" s="600"/>
      <c r="R312" s="600"/>
      <c r="S312" s="600"/>
      <c r="T312" s="600"/>
      <c r="U312" s="600"/>
      <c r="V312" s="600"/>
      <c r="W312" s="600"/>
    </row>
    <row r="313" spans="1:23">
      <c r="A313" s="594">
        <v>308</v>
      </c>
      <c r="B313" s="597"/>
      <c r="C313" s="598" t="s">
        <v>156</v>
      </c>
      <c r="D313" s="599"/>
      <c r="E313" s="600"/>
      <c r="F313" s="600"/>
      <c r="G313" s="600"/>
      <c r="H313" s="600"/>
      <c r="I313" s="601"/>
      <c r="J313" s="601"/>
      <c r="K313" s="600"/>
      <c r="L313" s="600"/>
      <c r="M313" s="600"/>
      <c r="N313" s="602"/>
      <c r="O313" s="602"/>
      <c r="P313" s="600"/>
      <c r="Q313" s="600"/>
      <c r="R313" s="600"/>
      <c r="S313" s="600"/>
      <c r="T313" s="600"/>
      <c r="U313" s="600"/>
      <c r="V313" s="600"/>
      <c r="W313" s="600"/>
    </row>
    <row r="314" spans="1:23">
      <c r="A314" s="594">
        <v>309</v>
      </c>
      <c r="B314" s="597"/>
      <c r="C314" s="598" t="s">
        <v>156</v>
      </c>
      <c r="D314" s="599"/>
      <c r="E314" s="600"/>
      <c r="F314" s="600"/>
      <c r="G314" s="600"/>
      <c r="H314" s="600"/>
      <c r="I314" s="601"/>
      <c r="J314" s="601"/>
      <c r="K314" s="600"/>
      <c r="L314" s="600"/>
      <c r="M314" s="600"/>
      <c r="N314" s="602"/>
      <c r="O314" s="602"/>
      <c r="P314" s="600"/>
      <c r="Q314" s="600"/>
      <c r="R314" s="600"/>
      <c r="S314" s="600"/>
      <c r="T314" s="600"/>
      <c r="U314" s="600"/>
      <c r="V314" s="600"/>
      <c r="W314" s="600"/>
    </row>
    <row r="315" spans="1:23">
      <c r="A315" s="594">
        <v>310</v>
      </c>
      <c r="B315" s="597"/>
      <c r="C315" s="598" t="s">
        <v>156</v>
      </c>
      <c r="D315" s="599"/>
      <c r="E315" s="600"/>
      <c r="F315" s="600"/>
      <c r="G315" s="600"/>
      <c r="H315" s="600"/>
      <c r="I315" s="601"/>
      <c r="J315" s="601"/>
      <c r="K315" s="600"/>
      <c r="L315" s="600"/>
      <c r="M315" s="600"/>
      <c r="N315" s="602"/>
      <c r="O315" s="602"/>
      <c r="P315" s="600"/>
      <c r="Q315" s="600"/>
      <c r="R315" s="600"/>
      <c r="S315" s="600"/>
      <c r="T315" s="600"/>
      <c r="U315" s="600"/>
      <c r="V315" s="600"/>
      <c r="W315" s="600"/>
    </row>
    <row r="316" spans="1:23">
      <c r="A316" s="594">
        <v>311</v>
      </c>
      <c r="B316" s="597"/>
      <c r="C316" s="598" t="s">
        <v>156</v>
      </c>
      <c r="D316" s="599"/>
      <c r="E316" s="600"/>
      <c r="F316" s="600"/>
      <c r="G316" s="600"/>
      <c r="H316" s="600"/>
      <c r="I316" s="601"/>
      <c r="J316" s="601"/>
      <c r="K316" s="600"/>
      <c r="L316" s="600"/>
      <c r="M316" s="600"/>
      <c r="N316" s="602"/>
      <c r="O316" s="602"/>
      <c r="P316" s="600"/>
      <c r="Q316" s="600"/>
      <c r="R316" s="600"/>
      <c r="S316" s="600"/>
      <c r="T316" s="600"/>
      <c r="U316" s="600"/>
      <c r="V316" s="600"/>
      <c r="W316" s="600"/>
    </row>
    <row r="317" spans="1:23">
      <c r="A317" s="594">
        <v>312</v>
      </c>
      <c r="B317" s="597"/>
      <c r="C317" s="598" t="s">
        <v>156</v>
      </c>
      <c r="D317" s="599"/>
      <c r="E317" s="600"/>
      <c r="F317" s="600"/>
      <c r="G317" s="600"/>
      <c r="H317" s="600"/>
      <c r="I317" s="601"/>
      <c r="J317" s="601"/>
      <c r="K317" s="600"/>
      <c r="L317" s="600"/>
      <c r="M317" s="600"/>
      <c r="N317" s="602"/>
      <c r="O317" s="602"/>
      <c r="P317" s="600"/>
      <c r="Q317" s="600"/>
      <c r="R317" s="600"/>
      <c r="S317" s="600"/>
      <c r="T317" s="600"/>
      <c r="U317" s="600"/>
      <c r="V317" s="600"/>
      <c r="W317" s="600"/>
    </row>
    <row r="318" spans="1:23">
      <c r="A318" s="594">
        <v>313</v>
      </c>
      <c r="B318" s="597"/>
      <c r="C318" s="598" t="s">
        <v>156</v>
      </c>
      <c r="D318" s="599"/>
      <c r="E318" s="600"/>
      <c r="F318" s="600"/>
      <c r="G318" s="600"/>
      <c r="H318" s="600"/>
      <c r="I318" s="601"/>
      <c r="J318" s="601"/>
      <c r="K318" s="600"/>
      <c r="L318" s="600"/>
      <c r="M318" s="600"/>
      <c r="N318" s="602"/>
      <c r="O318" s="602"/>
      <c r="P318" s="600"/>
      <c r="Q318" s="600"/>
      <c r="R318" s="600"/>
      <c r="S318" s="600"/>
      <c r="T318" s="600"/>
      <c r="U318" s="600"/>
      <c r="V318" s="600"/>
      <c r="W318" s="600"/>
    </row>
    <row r="319" spans="1:23">
      <c r="A319" s="594">
        <v>314</v>
      </c>
      <c r="B319" s="597"/>
      <c r="C319" s="598" t="s">
        <v>156</v>
      </c>
      <c r="D319" s="599"/>
      <c r="E319" s="600"/>
      <c r="F319" s="600"/>
      <c r="G319" s="600"/>
      <c r="H319" s="600"/>
      <c r="I319" s="601"/>
      <c r="J319" s="601"/>
      <c r="K319" s="600"/>
      <c r="L319" s="600"/>
      <c r="M319" s="600"/>
      <c r="N319" s="602"/>
      <c r="O319" s="602"/>
      <c r="P319" s="600"/>
      <c r="Q319" s="600"/>
      <c r="R319" s="600"/>
      <c r="S319" s="600"/>
      <c r="T319" s="600"/>
      <c r="U319" s="600"/>
      <c r="V319" s="600"/>
      <c r="W319" s="600"/>
    </row>
    <row r="320" spans="1:23">
      <c r="A320" s="594">
        <v>315</v>
      </c>
      <c r="B320" s="597"/>
      <c r="C320" s="598" t="s">
        <v>156</v>
      </c>
      <c r="D320" s="599"/>
      <c r="E320" s="600"/>
      <c r="F320" s="600"/>
      <c r="G320" s="600"/>
      <c r="H320" s="600"/>
      <c r="I320" s="601"/>
      <c r="J320" s="601"/>
      <c r="K320" s="600"/>
      <c r="L320" s="600"/>
      <c r="M320" s="600"/>
      <c r="N320" s="602"/>
      <c r="O320" s="602"/>
      <c r="P320" s="600"/>
      <c r="Q320" s="600"/>
      <c r="R320" s="600"/>
      <c r="S320" s="600"/>
      <c r="T320" s="600"/>
      <c r="U320" s="600"/>
      <c r="V320" s="600"/>
      <c r="W320" s="600"/>
    </row>
    <row r="321" spans="1:23">
      <c r="A321" s="594">
        <v>316</v>
      </c>
      <c r="B321" s="597"/>
      <c r="C321" s="598" t="s">
        <v>156</v>
      </c>
      <c r="D321" s="599"/>
      <c r="E321" s="600"/>
      <c r="F321" s="600"/>
      <c r="G321" s="600"/>
      <c r="H321" s="600"/>
      <c r="I321" s="601"/>
      <c r="J321" s="601"/>
      <c r="K321" s="600"/>
      <c r="L321" s="600"/>
      <c r="M321" s="600"/>
      <c r="N321" s="602"/>
      <c r="O321" s="602"/>
      <c r="P321" s="600"/>
      <c r="Q321" s="600"/>
      <c r="R321" s="600"/>
      <c r="S321" s="600"/>
      <c r="T321" s="600"/>
      <c r="U321" s="600"/>
      <c r="V321" s="600"/>
      <c r="W321" s="600"/>
    </row>
    <row r="322" spans="1:23">
      <c r="A322" s="594">
        <v>317</v>
      </c>
      <c r="B322" s="597"/>
      <c r="C322" s="598" t="s">
        <v>156</v>
      </c>
      <c r="D322" s="599"/>
      <c r="E322" s="600"/>
      <c r="F322" s="600"/>
      <c r="G322" s="600"/>
      <c r="H322" s="600"/>
      <c r="I322" s="601"/>
      <c r="J322" s="601"/>
      <c r="K322" s="600"/>
      <c r="L322" s="600"/>
      <c r="M322" s="600"/>
      <c r="N322" s="602"/>
      <c r="O322" s="602"/>
      <c r="P322" s="600"/>
      <c r="Q322" s="600"/>
      <c r="R322" s="600"/>
      <c r="S322" s="600"/>
      <c r="T322" s="600"/>
      <c r="U322" s="600"/>
      <c r="V322" s="600"/>
      <c r="W322" s="600"/>
    </row>
    <row r="323" spans="1:23">
      <c r="A323" s="594">
        <v>318</v>
      </c>
      <c r="B323" s="597"/>
      <c r="C323" s="598" t="s">
        <v>156</v>
      </c>
      <c r="D323" s="599"/>
      <c r="E323" s="600"/>
      <c r="F323" s="600"/>
      <c r="G323" s="600"/>
      <c r="H323" s="600"/>
      <c r="I323" s="601"/>
      <c r="J323" s="601"/>
      <c r="K323" s="600"/>
      <c r="L323" s="600"/>
      <c r="M323" s="600"/>
      <c r="N323" s="602"/>
      <c r="O323" s="602"/>
      <c r="P323" s="600"/>
      <c r="Q323" s="600"/>
      <c r="R323" s="600"/>
      <c r="S323" s="600"/>
      <c r="T323" s="600"/>
      <c r="U323" s="600"/>
      <c r="V323" s="600"/>
      <c r="W323" s="600"/>
    </row>
    <row r="324" spans="1:23">
      <c r="A324" s="594">
        <v>319</v>
      </c>
      <c r="B324" s="597"/>
      <c r="C324" s="598" t="s">
        <v>156</v>
      </c>
      <c r="D324" s="599"/>
      <c r="E324" s="600"/>
      <c r="F324" s="600"/>
      <c r="G324" s="600"/>
      <c r="H324" s="600"/>
      <c r="I324" s="601"/>
      <c r="J324" s="601"/>
      <c r="K324" s="600"/>
      <c r="L324" s="600"/>
      <c r="M324" s="600"/>
      <c r="N324" s="602"/>
      <c r="O324" s="602"/>
      <c r="P324" s="600"/>
      <c r="Q324" s="600"/>
      <c r="R324" s="600"/>
      <c r="S324" s="600"/>
      <c r="T324" s="600"/>
      <c r="U324" s="600"/>
      <c r="V324" s="600"/>
      <c r="W324" s="600"/>
    </row>
    <row r="325" spans="1:23">
      <c r="A325" s="594">
        <v>320</v>
      </c>
      <c r="B325" s="597"/>
      <c r="C325" s="598" t="s">
        <v>156</v>
      </c>
      <c r="D325" s="599"/>
      <c r="E325" s="600"/>
      <c r="F325" s="600"/>
      <c r="G325" s="600"/>
      <c r="H325" s="600"/>
      <c r="I325" s="601"/>
      <c r="J325" s="601"/>
      <c r="K325" s="600"/>
      <c r="L325" s="600"/>
      <c r="M325" s="600"/>
      <c r="N325" s="602"/>
      <c r="O325" s="602"/>
      <c r="P325" s="600"/>
      <c r="Q325" s="600"/>
      <c r="R325" s="600"/>
      <c r="S325" s="600"/>
      <c r="T325" s="600"/>
      <c r="U325" s="600"/>
      <c r="V325" s="600"/>
      <c r="W325" s="600"/>
    </row>
    <row r="326" spans="1:23">
      <c r="A326" s="594">
        <v>321</v>
      </c>
      <c r="B326" s="597"/>
      <c r="C326" s="598" t="s">
        <v>156</v>
      </c>
      <c r="D326" s="599"/>
      <c r="E326" s="600"/>
      <c r="F326" s="600"/>
      <c r="G326" s="600"/>
      <c r="H326" s="600"/>
      <c r="I326" s="601"/>
      <c r="J326" s="601"/>
      <c r="K326" s="600"/>
      <c r="L326" s="600"/>
      <c r="M326" s="600"/>
      <c r="N326" s="602"/>
      <c r="O326" s="602"/>
      <c r="P326" s="600"/>
      <c r="Q326" s="600"/>
      <c r="R326" s="600"/>
      <c r="S326" s="600"/>
      <c r="T326" s="600"/>
      <c r="U326" s="600"/>
      <c r="V326" s="600"/>
      <c r="W326" s="600"/>
    </row>
    <row r="327" spans="1:23">
      <c r="A327" s="594">
        <v>322</v>
      </c>
      <c r="B327" s="597"/>
      <c r="C327" s="598" t="s">
        <v>156</v>
      </c>
      <c r="D327" s="599"/>
      <c r="E327" s="600"/>
      <c r="F327" s="600"/>
      <c r="G327" s="600"/>
      <c r="H327" s="600"/>
      <c r="I327" s="601"/>
      <c r="J327" s="601"/>
      <c r="K327" s="600"/>
      <c r="L327" s="600"/>
      <c r="M327" s="600"/>
      <c r="N327" s="602"/>
      <c r="O327" s="602"/>
      <c r="P327" s="600"/>
      <c r="Q327" s="600"/>
      <c r="R327" s="600"/>
      <c r="S327" s="600"/>
      <c r="T327" s="600"/>
      <c r="U327" s="600"/>
      <c r="V327" s="600"/>
      <c r="W327" s="600"/>
    </row>
    <row r="328" spans="1:23">
      <c r="A328" s="594">
        <v>323</v>
      </c>
      <c r="B328" s="597"/>
      <c r="C328" s="598" t="s">
        <v>156</v>
      </c>
      <c r="D328" s="599"/>
      <c r="E328" s="600"/>
      <c r="F328" s="600"/>
      <c r="G328" s="600"/>
      <c r="H328" s="600"/>
      <c r="I328" s="601"/>
      <c r="J328" s="601"/>
      <c r="K328" s="600"/>
      <c r="L328" s="600"/>
      <c r="M328" s="600"/>
      <c r="N328" s="602"/>
      <c r="O328" s="602"/>
      <c r="P328" s="600"/>
      <c r="Q328" s="600"/>
      <c r="R328" s="600"/>
      <c r="S328" s="600"/>
      <c r="T328" s="600"/>
      <c r="U328" s="600"/>
      <c r="V328" s="600"/>
      <c r="W328" s="600"/>
    </row>
    <row r="329" spans="1:23">
      <c r="A329" s="594">
        <v>324</v>
      </c>
      <c r="B329" s="597"/>
      <c r="C329" s="598" t="s">
        <v>156</v>
      </c>
      <c r="D329" s="599"/>
      <c r="E329" s="600"/>
      <c r="F329" s="600"/>
      <c r="G329" s="600"/>
      <c r="H329" s="600"/>
      <c r="I329" s="601"/>
      <c r="J329" s="601"/>
      <c r="K329" s="600"/>
      <c r="L329" s="600"/>
      <c r="M329" s="600"/>
      <c r="N329" s="602"/>
      <c r="O329" s="602"/>
      <c r="P329" s="600"/>
      <c r="Q329" s="600"/>
      <c r="R329" s="600"/>
      <c r="S329" s="600"/>
      <c r="T329" s="600"/>
      <c r="U329" s="600"/>
      <c r="V329" s="600"/>
      <c r="W329" s="600"/>
    </row>
    <row r="330" spans="1:23">
      <c r="A330" s="594">
        <v>325</v>
      </c>
      <c r="B330" s="597"/>
      <c r="C330" s="598" t="s">
        <v>156</v>
      </c>
      <c r="D330" s="599"/>
      <c r="E330" s="600"/>
      <c r="F330" s="600"/>
      <c r="G330" s="600"/>
      <c r="H330" s="600"/>
      <c r="I330" s="601"/>
      <c r="J330" s="601"/>
      <c r="K330" s="600"/>
      <c r="L330" s="600"/>
      <c r="M330" s="600"/>
      <c r="N330" s="602"/>
      <c r="O330" s="602"/>
      <c r="P330" s="600"/>
      <c r="Q330" s="600"/>
      <c r="R330" s="600"/>
      <c r="S330" s="600"/>
      <c r="T330" s="600"/>
      <c r="U330" s="600"/>
      <c r="V330" s="600"/>
      <c r="W330" s="600"/>
    </row>
    <row r="331" spans="1:23">
      <c r="A331" s="594">
        <v>326</v>
      </c>
      <c r="B331" s="597"/>
      <c r="C331" s="598" t="s">
        <v>156</v>
      </c>
      <c r="D331" s="599"/>
      <c r="E331" s="600"/>
      <c r="F331" s="600"/>
      <c r="G331" s="600"/>
      <c r="H331" s="600"/>
      <c r="I331" s="601"/>
      <c r="J331" s="601"/>
      <c r="K331" s="600"/>
      <c r="L331" s="600"/>
      <c r="M331" s="600"/>
      <c r="N331" s="602"/>
      <c r="O331" s="602"/>
      <c r="P331" s="600"/>
      <c r="Q331" s="600"/>
      <c r="R331" s="600"/>
      <c r="S331" s="600"/>
      <c r="T331" s="600"/>
      <c r="U331" s="600"/>
      <c r="V331" s="600"/>
      <c r="W331" s="600"/>
    </row>
    <row r="332" spans="1:23">
      <c r="A332" s="594">
        <v>327</v>
      </c>
      <c r="B332" s="597"/>
      <c r="C332" s="598" t="s">
        <v>156</v>
      </c>
      <c r="D332" s="599"/>
      <c r="E332" s="600"/>
      <c r="F332" s="600"/>
      <c r="G332" s="600"/>
      <c r="H332" s="600"/>
      <c r="I332" s="601"/>
      <c r="J332" s="601"/>
      <c r="K332" s="600"/>
      <c r="L332" s="600"/>
      <c r="M332" s="600"/>
      <c r="N332" s="602"/>
      <c r="O332" s="602"/>
      <c r="P332" s="600"/>
      <c r="Q332" s="600"/>
      <c r="R332" s="600"/>
      <c r="S332" s="600"/>
      <c r="T332" s="600"/>
      <c r="U332" s="600"/>
      <c r="V332" s="600"/>
      <c r="W332" s="600"/>
    </row>
    <row r="333" spans="1:23">
      <c r="A333" s="594">
        <v>328</v>
      </c>
      <c r="B333" s="597"/>
      <c r="C333" s="598" t="s">
        <v>156</v>
      </c>
      <c r="D333" s="599"/>
      <c r="E333" s="600"/>
      <c r="F333" s="600"/>
      <c r="G333" s="600"/>
      <c r="H333" s="600"/>
      <c r="I333" s="601"/>
      <c r="J333" s="601"/>
      <c r="K333" s="600"/>
      <c r="L333" s="600"/>
      <c r="M333" s="600"/>
      <c r="N333" s="602"/>
      <c r="O333" s="602"/>
      <c r="P333" s="600"/>
      <c r="Q333" s="600"/>
      <c r="R333" s="600"/>
      <c r="S333" s="600"/>
      <c r="T333" s="600"/>
      <c r="U333" s="600"/>
      <c r="V333" s="600"/>
      <c r="W333" s="600"/>
    </row>
    <row r="334" spans="1:23">
      <c r="A334" s="594">
        <v>329</v>
      </c>
      <c r="B334" s="597"/>
      <c r="C334" s="598" t="s">
        <v>156</v>
      </c>
      <c r="D334" s="599"/>
      <c r="E334" s="600"/>
      <c r="F334" s="600"/>
      <c r="G334" s="600"/>
      <c r="H334" s="600"/>
      <c r="I334" s="601"/>
      <c r="J334" s="601"/>
      <c r="K334" s="600"/>
      <c r="L334" s="600"/>
      <c r="M334" s="600"/>
      <c r="N334" s="602"/>
      <c r="O334" s="602"/>
      <c r="P334" s="600"/>
      <c r="Q334" s="600"/>
      <c r="R334" s="600"/>
      <c r="S334" s="600"/>
      <c r="T334" s="600"/>
      <c r="U334" s="600"/>
      <c r="V334" s="600"/>
      <c r="W334" s="600"/>
    </row>
    <row r="335" spans="1:23">
      <c r="A335" s="594">
        <v>330</v>
      </c>
      <c r="B335" s="597"/>
      <c r="C335" s="598" t="s">
        <v>156</v>
      </c>
      <c r="D335" s="599"/>
      <c r="E335" s="600"/>
      <c r="F335" s="600"/>
      <c r="G335" s="600"/>
      <c r="H335" s="600"/>
      <c r="I335" s="601"/>
      <c r="J335" s="601"/>
      <c r="K335" s="600"/>
      <c r="L335" s="600"/>
      <c r="M335" s="600"/>
      <c r="N335" s="602"/>
      <c r="O335" s="602"/>
      <c r="P335" s="600"/>
      <c r="Q335" s="600"/>
      <c r="R335" s="600"/>
      <c r="S335" s="600"/>
      <c r="T335" s="600"/>
      <c r="U335" s="600"/>
      <c r="V335" s="600"/>
      <c r="W335" s="600"/>
    </row>
    <row r="336" spans="1:23">
      <c r="A336" s="594">
        <v>331</v>
      </c>
      <c r="B336" s="597"/>
      <c r="C336" s="598" t="s">
        <v>156</v>
      </c>
      <c r="D336" s="599"/>
      <c r="E336" s="600"/>
      <c r="F336" s="600"/>
      <c r="G336" s="600"/>
      <c r="H336" s="600"/>
      <c r="I336" s="601"/>
      <c r="J336" s="601"/>
      <c r="K336" s="600"/>
      <c r="L336" s="600"/>
      <c r="M336" s="600"/>
      <c r="N336" s="602"/>
      <c r="O336" s="602"/>
      <c r="P336" s="600"/>
      <c r="Q336" s="600"/>
      <c r="R336" s="600"/>
      <c r="S336" s="600"/>
      <c r="T336" s="600"/>
      <c r="U336" s="600"/>
      <c r="V336" s="600"/>
      <c r="W336" s="600"/>
    </row>
    <row r="337" spans="1:23">
      <c r="A337" s="594">
        <v>332</v>
      </c>
      <c r="B337" s="597"/>
      <c r="C337" s="598" t="s">
        <v>156</v>
      </c>
      <c r="D337" s="599"/>
      <c r="E337" s="600"/>
      <c r="F337" s="600"/>
      <c r="G337" s="600"/>
      <c r="H337" s="600"/>
      <c r="I337" s="601"/>
      <c r="J337" s="601"/>
      <c r="K337" s="600"/>
      <c r="L337" s="600"/>
      <c r="M337" s="600"/>
      <c r="N337" s="602"/>
      <c r="O337" s="602"/>
      <c r="P337" s="600"/>
      <c r="Q337" s="600"/>
      <c r="R337" s="600"/>
      <c r="S337" s="600"/>
      <c r="T337" s="600"/>
      <c r="U337" s="600"/>
      <c r="V337" s="600"/>
      <c r="W337" s="600"/>
    </row>
    <row r="338" spans="1:23">
      <c r="A338" s="594">
        <v>333</v>
      </c>
      <c r="B338" s="597"/>
      <c r="C338" s="598" t="s">
        <v>156</v>
      </c>
      <c r="D338" s="599"/>
      <c r="E338" s="600"/>
      <c r="F338" s="600"/>
      <c r="G338" s="600"/>
      <c r="H338" s="600"/>
      <c r="I338" s="601"/>
      <c r="J338" s="601"/>
      <c r="K338" s="600"/>
      <c r="L338" s="600"/>
      <c r="M338" s="600"/>
      <c r="N338" s="602"/>
      <c r="O338" s="602"/>
      <c r="P338" s="600"/>
      <c r="Q338" s="600"/>
      <c r="R338" s="600"/>
      <c r="S338" s="600"/>
      <c r="T338" s="600"/>
      <c r="U338" s="600"/>
      <c r="V338" s="600"/>
      <c r="W338" s="600"/>
    </row>
    <row r="339" spans="1:23">
      <c r="A339" s="594">
        <v>334</v>
      </c>
      <c r="B339" s="597"/>
      <c r="C339" s="598" t="s">
        <v>156</v>
      </c>
      <c r="D339" s="599"/>
      <c r="E339" s="600"/>
      <c r="F339" s="600"/>
      <c r="G339" s="600"/>
      <c r="H339" s="600"/>
      <c r="I339" s="601"/>
      <c r="J339" s="601"/>
      <c r="K339" s="600"/>
      <c r="L339" s="600"/>
      <c r="M339" s="600"/>
      <c r="N339" s="602"/>
      <c r="O339" s="602"/>
      <c r="P339" s="600"/>
      <c r="Q339" s="600"/>
      <c r="R339" s="600"/>
      <c r="S339" s="600"/>
      <c r="T339" s="600"/>
      <c r="U339" s="600"/>
      <c r="V339" s="600"/>
      <c r="W339" s="600"/>
    </row>
    <row r="340" spans="1:23">
      <c r="A340" s="594">
        <v>335</v>
      </c>
      <c r="B340" s="597"/>
      <c r="C340" s="598" t="s">
        <v>156</v>
      </c>
      <c r="D340" s="599"/>
      <c r="E340" s="600"/>
      <c r="F340" s="600"/>
      <c r="G340" s="600"/>
      <c r="H340" s="600"/>
      <c r="I340" s="601"/>
      <c r="J340" s="601"/>
      <c r="K340" s="600"/>
      <c r="L340" s="600"/>
      <c r="M340" s="600"/>
      <c r="N340" s="602"/>
      <c r="O340" s="602"/>
      <c r="P340" s="600"/>
      <c r="Q340" s="600"/>
      <c r="R340" s="600"/>
      <c r="S340" s="600"/>
      <c r="T340" s="600"/>
      <c r="U340" s="600"/>
      <c r="V340" s="600"/>
      <c r="W340" s="600"/>
    </row>
    <row r="341" spans="1:23">
      <c r="A341" s="594">
        <v>336</v>
      </c>
      <c r="B341" s="597"/>
      <c r="C341" s="598" t="s">
        <v>156</v>
      </c>
      <c r="D341" s="599"/>
      <c r="E341" s="600"/>
      <c r="F341" s="600"/>
      <c r="G341" s="600"/>
      <c r="H341" s="600"/>
      <c r="I341" s="601"/>
      <c r="J341" s="601"/>
      <c r="K341" s="600"/>
      <c r="L341" s="600"/>
      <c r="M341" s="600"/>
      <c r="N341" s="602"/>
      <c r="O341" s="602"/>
      <c r="P341" s="600"/>
      <c r="Q341" s="600"/>
      <c r="R341" s="600"/>
      <c r="S341" s="600"/>
      <c r="T341" s="600"/>
      <c r="U341" s="600"/>
      <c r="V341" s="600"/>
      <c r="W341" s="600"/>
    </row>
    <row r="342" spans="1:23">
      <c r="A342" s="594">
        <v>337</v>
      </c>
      <c r="B342" s="597"/>
      <c r="C342" s="598" t="s">
        <v>156</v>
      </c>
      <c r="D342" s="599"/>
      <c r="E342" s="600"/>
      <c r="F342" s="600"/>
      <c r="G342" s="600"/>
      <c r="H342" s="600"/>
      <c r="I342" s="601"/>
      <c r="J342" s="601"/>
      <c r="K342" s="600"/>
      <c r="L342" s="600"/>
      <c r="M342" s="600"/>
      <c r="N342" s="602"/>
      <c r="O342" s="602"/>
      <c r="P342" s="600"/>
      <c r="Q342" s="600"/>
      <c r="R342" s="600"/>
      <c r="S342" s="600"/>
      <c r="T342" s="600"/>
      <c r="U342" s="600"/>
      <c r="V342" s="600"/>
      <c r="W342" s="600"/>
    </row>
    <row r="343" spans="1:23">
      <c r="A343" s="594">
        <v>338</v>
      </c>
      <c r="B343" s="597"/>
      <c r="C343" s="598" t="s">
        <v>156</v>
      </c>
      <c r="D343" s="599"/>
      <c r="E343" s="600"/>
      <c r="F343" s="600"/>
      <c r="G343" s="600"/>
      <c r="H343" s="600"/>
      <c r="I343" s="601"/>
      <c r="J343" s="601"/>
      <c r="K343" s="600"/>
      <c r="L343" s="600"/>
      <c r="M343" s="600"/>
      <c r="N343" s="602"/>
      <c r="O343" s="602"/>
      <c r="P343" s="600"/>
      <c r="Q343" s="600"/>
      <c r="R343" s="600"/>
      <c r="S343" s="600"/>
      <c r="T343" s="600"/>
      <c r="U343" s="600"/>
      <c r="V343" s="600"/>
      <c r="W343" s="600"/>
    </row>
    <row r="344" spans="1:23">
      <c r="A344" s="594">
        <v>339</v>
      </c>
      <c r="B344" s="597"/>
      <c r="C344" s="598" t="s">
        <v>156</v>
      </c>
      <c r="D344" s="599"/>
      <c r="E344" s="600"/>
      <c r="F344" s="600"/>
      <c r="G344" s="600"/>
      <c r="H344" s="600"/>
      <c r="I344" s="601"/>
      <c r="J344" s="601"/>
      <c r="K344" s="600"/>
      <c r="L344" s="600"/>
      <c r="M344" s="600"/>
      <c r="N344" s="602"/>
      <c r="O344" s="602"/>
      <c r="P344" s="600"/>
      <c r="Q344" s="600"/>
      <c r="R344" s="600"/>
      <c r="S344" s="600"/>
      <c r="T344" s="600"/>
      <c r="U344" s="600"/>
      <c r="V344" s="600"/>
      <c r="W344" s="600"/>
    </row>
    <row r="345" spans="1:23">
      <c r="A345" s="594">
        <v>340</v>
      </c>
      <c r="B345" s="597"/>
      <c r="C345" s="598" t="s">
        <v>156</v>
      </c>
      <c r="D345" s="599"/>
      <c r="E345" s="600"/>
      <c r="F345" s="600"/>
      <c r="G345" s="600"/>
      <c r="H345" s="600"/>
      <c r="I345" s="601"/>
      <c r="J345" s="601"/>
      <c r="K345" s="600"/>
      <c r="L345" s="600"/>
      <c r="M345" s="600"/>
      <c r="N345" s="602"/>
      <c r="O345" s="602"/>
      <c r="P345" s="600"/>
      <c r="Q345" s="600"/>
      <c r="R345" s="600"/>
      <c r="S345" s="600"/>
      <c r="T345" s="600"/>
      <c r="U345" s="600"/>
      <c r="V345" s="600"/>
      <c r="W345" s="600"/>
    </row>
    <row r="346" spans="1:23">
      <c r="A346" s="594">
        <v>341</v>
      </c>
      <c r="B346" s="597"/>
      <c r="C346" s="598" t="s">
        <v>156</v>
      </c>
      <c r="D346" s="599"/>
      <c r="E346" s="600"/>
      <c r="F346" s="600"/>
      <c r="G346" s="600"/>
      <c r="H346" s="600"/>
      <c r="I346" s="601"/>
      <c r="J346" s="601"/>
      <c r="K346" s="600"/>
      <c r="L346" s="600"/>
      <c r="M346" s="600"/>
      <c r="N346" s="602"/>
      <c r="O346" s="602"/>
      <c r="P346" s="600"/>
      <c r="Q346" s="600"/>
      <c r="R346" s="600"/>
      <c r="S346" s="600"/>
      <c r="T346" s="600"/>
      <c r="U346" s="600"/>
      <c r="V346" s="600"/>
      <c r="W346" s="600"/>
    </row>
    <row r="347" spans="1:23">
      <c r="A347" s="594">
        <v>342</v>
      </c>
      <c r="B347" s="597"/>
      <c r="C347" s="598" t="s">
        <v>156</v>
      </c>
      <c r="D347" s="599"/>
      <c r="E347" s="600"/>
      <c r="F347" s="600"/>
      <c r="G347" s="600"/>
      <c r="H347" s="600"/>
      <c r="I347" s="601"/>
      <c r="J347" s="601"/>
      <c r="K347" s="600"/>
      <c r="L347" s="600"/>
      <c r="M347" s="600"/>
      <c r="N347" s="602"/>
      <c r="O347" s="602"/>
      <c r="P347" s="600"/>
      <c r="Q347" s="600"/>
      <c r="R347" s="600"/>
      <c r="S347" s="600"/>
      <c r="T347" s="600"/>
      <c r="U347" s="600"/>
      <c r="V347" s="600"/>
      <c r="W347" s="600"/>
    </row>
    <row r="348" spans="1:23">
      <c r="A348" s="594">
        <v>343</v>
      </c>
      <c r="B348" s="597"/>
      <c r="C348" s="598" t="s">
        <v>156</v>
      </c>
      <c r="D348" s="599"/>
      <c r="E348" s="600"/>
      <c r="F348" s="600"/>
      <c r="G348" s="600"/>
      <c r="H348" s="600"/>
      <c r="I348" s="601"/>
      <c r="J348" s="601"/>
      <c r="K348" s="600"/>
      <c r="L348" s="600"/>
      <c r="M348" s="600"/>
      <c r="N348" s="602"/>
      <c r="O348" s="602"/>
      <c r="P348" s="600"/>
      <c r="Q348" s="600"/>
      <c r="R348" s="600"/>
      <c r="S348" s="600"/>
      <c r="T348" s="600"/>
      <c r="U348" s="600"/>
      <c r="V348" s="600"/>
      <c r="W348" s="600"/>
    </row>
    <row r="349" spans="1:23">
      <c r="A349" s="594">
        <v>344</v>
      </c>
      <c r="B349" s="597"/>
      <c r="C349" s="598" t="s">
        <v>156</v>
      </c>
      <c r="D349" s="599"/>
      <c r="E349" s="600"/>
      <c r="F349" s="600"/>
      <c r="G349" s="600"/>
      <c r="H349" s="600"/>
      <c r="I349" s="601"/>
      <c r="J349" s="601"/>
      <c r="K349" s="600"/>
      <c r="L349" s="600"/>
      <c r="M349" s="600"/>
      <c r="N349" s="602"/>
      <c r="O349" s="602"/>
      <c r="P349" s="600"/>
      <c r="Q349" s="600"/>
      <c r="R349" s="600"/>
      <c r="S349" s="600"/>
      <c r="T349" s="600"/>
      <c r="U349" s="600"/>
      <c r="V349" s="600"/>
      <c r="W349" s="600"/>
    </row>
    <row r="350" spans="1:23">
      <c r="A350" s="594">
        <v>345</v>
      </c>
      <c r="B350" s="597"/>
      <c r="C350" s="598" t="s">
        <v>156</v>
      </c>
      <c r="D350" s="599"/>
      <c r="E350" s="600"/>
      <c r="F350" s="600"/>
      <c r="G350" s="600"/>
      <c r="H350" s="600"/>
      <c r="I350" s="601"/>
      <c r="J350" s="601"/>
      <c r="K350" s="600"/>
      <c r="L350" s="600"/>
      <c r="M350" s="600"/>
      <c r="N350" s="602"/>
      <c r="O350" s="602"/>
      <c r="P350" s="600"/>
      <c r="Q350" s="600"/>
      <c r="R350" s="600"/>
      <c r="S350" s="600"/>
      <c r="T350" s="600"/>
      <c r="U350" s="600"/>
      <c r="V350" s="600"/>
      <c r="W350" s="600"/>
    </row>
    <row r="351" spans="1:23">
      <c r="A351" s="594">
        <v>346</v>
      </c>
      <c r="B351" s="597"/>
      <c r="C351" s="598" t="s">
        <v>156</v>
      </c>
      <c r="D351" s="599"/>
      <c r="E351" s="600"/>
      <c r="F351" s="600"/>
      <c r="G351" s="600"/>
      <c r="H351" s="600"/>
      <c r="I351" s="601"/>
      <c r="J351" s="601"/>
      <c r="K351" s="600"/>
      <c r="L351" s="600"/>
      <c r="M351" s="600"/>
      <c r="N351" s="602"/>
      <c r="O351" s="602"/>
      <c r="P351" s="600"/>
      <c r="Q351" s="600"/>
      <c r="R351" s="600"/>
      <c r="S351" s="600"/>
      <c r="T351" s="600"/>
      <c r="U351" s="600"/>
      <c r="V351" s="600"/>
      <c r="W351" s="600"/>
    </row>
    <row r="352" spans="1:23">
      <c r="A352" s="594">
        <v>347</v>
      </c>
      <c r="B352" s="597"/>
      <c r="C352" s="598" t="s">
        <v>156</v>
      </c>
      <c r="D352" s="599"/>
      <c r="E352" s="600"/>
      <c r="F352" s="600"/>
      <c r="G352" s="600"/>
      <c r="H352" s="600"/>
      <c r="I352" s="601"/>
      <c r="J352" s="601"/>
      <c r="K352" s="600"/>
      <c r="L352" s="600"/>
      <c r="M352" s="600"/>
      <c r="N352" s="602"/>
      <c r="O352" s="602"/>
      <c r="P352" s="600"/>
      <c r="Q352" s="600"/>
      <c r="R352" s="600"/>
      <c r="S352" s="600"/>
      <c r="T352" s="600"/>
      <c r="U352" s="600"/>
      <c r="V352" s="600"/>
      <c r="W352" s="600"/>
    </row>
    <row r="353" spans="1:23">
      <c r="A353" s="594">
        <v>348</v>
      </c>
      <c r="B353" s="597"/>
      <c r="C353" s="598" t="s">
        <v>156</v>
      </c>
      <c r="D353" s="599"/>
      <c r="E353" s="600"/>
      <c r="F353" s="600"/>
      <c r="G353" s="600"/>
      <c r="H353" s="600"/>
      <c r="I353" s="601"/>
      <c r="J353" s="601"/>
      <c r="K353" s="600"/>
      <c r="L353" s="600"/>
      <c r="M353" s="600"/>
      <c r="N353" s="602"/>
      <c r="O353" s="602"/>
      <c r="P353" s="600"/>
      <c r="Q353" s="600"/>
      <c r="R353" s="600"/>
      <c r="S353" s="600"/>
      <c r="T353" s="600"/>
      <c r="U353" s="600"/>
      <c r="V353" s="600"/>
      <c r="W353" s="600"/>
    </row>
    <row r="354" spans="1:23">
      <c r="A354" s="594">
        <v>349</v>
      </c>
      <c r="B354" s="597"/>
      <c r="C354" s="598" t="s">
        <v>156</v>
      </c>
      <c r="D354" s="599"/>
      <c r="E354" s="600"/>
      <c r="F354" s="600"/>
      <c r="G354" s="600"/>
      <c r="H354" s="600"/>
      <c r="I354" s="601"/>
      <c r="J354" s="601"/>
      <c r="K354" s="600"/>
      <c r="L354" s="600"/>
      <c r="M354" s="600"/>
      <c r="N354" s="602"/>
      <c r="O354" s="602"/>
      <c r="P354" s="600"/>
      <c r="Q354" s="600"/>
      <c r="R354" s="600"/>
      <c r="S354" s="600"/>
      <c r="T354" s="600"/>
      <c r="U354" s="600"/>
      <c r="V354" s="600"/>
      <c r="W354" s="600"/>
    </row>
    <row r="355" spans="1:23">
      <c r="A355" s="594">
        <v>350</v>
      </c>
      <c r="B355" s="597"/>
      <c r="C355" s="598" t="s">
        <v>156</v>
      </c>
      <c r="D355" s="599"/>
      <c r="E355" s="600"/>
      <c r="F355" s="600"/>
      <c r="G355" s="600"/>
      <c r="H355" s="600"/>
      <c r="I355" s="601"/>
      <c r="J355" s="601"/>
      <c r="K355" s="600"/>
      <c r="L355" s="600"/>
      <c r="M355" s="600"/>
      <c r="N355" s="602"/>
      <c r="O355" s="602"/>
      <c r="P355" s="600"/>
      <c r="Q355" s="600"/>
      <c r="R355" s="600"/>
      <c r="S355" s="600"/>
      <c r="T355" s="600"/>
      <c r="U355" s="600"/>
      <c r="V355" s="600"/>
      <c r="W355" s="600"/>
    </row>
    <row r="356" spans="1:23">
      <c r="A356" s="594">
        <v>351</v>
      </c>
      <c r="B356" s="597"/>
      <c r="C356" s="598" t="s">
        <v>156</v>
      </c>
      <c r="D356" s="599"/>
      <c r="E356" s="600"/>
      <c r="F356" s="600"/>
      <c r="G356" s="600"/>
      <c r="H356" s="600"/>
      <c r="I356" s="601"/>
      <c r="J356" s="601"/>
      <c r="K356" s="600"/>
      <c r="L356" s="600"/>
      <c r="M356" s="600"/>
      <c r="N356" s="602"/>
      <c r="O356" s="602"/>
      <c r="P356" s="600"/>
      <c r="Q356" s="600"/>
      <c r="R356" s="600"/>
      <c r="S356" s="600"/>
      <c r="T356" s="600"/>
      <c r="U356" s="600"/>
      <c r="V356" s="600"/>
      <c r="W356" s="600"/>
    </row>
    <row r="357" spans="1:23">
      <c r="A357" s="594">
        <v>352</v>
      </c>
      <c r="B357" s="597"/>
      <c r="C357" s="598" t="s">
        <v>156</v>
      </c>
      <c r="D357" s="599"/>
      <c r="E357" s="600"/>
      <c r="F357" s="600"/>
      <c r="G357" s="600"/>
      <c r="H357" s="600"/>
      <c r="I357" s="601"/>
      <c r="J357" s="601"/>
      <c r="K357" s="600"/>
      <c r="L357" s="600"/>
      <c r="M357" s="600"/>
      <c r="N357" s="602"/>
      <c r="O357" s="602"/>
      <c r="P357" s="600"/>
      <c r="Q357" s="600"/>
      <c r="R357" s="600"/>
      <c r="S357" s="600"/>
      <c r="T357" s="600"/>
      <c r="U357" s="600"/>
      <c r="V357" s="600"/>
      <c r="W357" s="600"/>
    </row>
    <row r="358" spans="1:23">
      <c r="A358" s="594">
        <v>353</v>
      </c>
      <c r="B358" s="597"/>
      <c r="C358" s="598" t="s">
        <v>156</v>
      </c>
      <c r="D358" s="599"/>
      <c r="E358" s="600"/>
      <c r="F358" s="600"/>
      <c r="G358" s="600"/>
      <c r="H358" s="600"/>
      <c r="I358" s="601"/>
      <c r="J358" s="601"/>
      <c r="K358" s="600"/>
      <c r="L358" s="600"/>
      <c r="M358" s="600"/>
      <c r="N358" s="602"/>
      <c r="O358" s="602"/>
      <c r="P358" s="600"/>
      <c r="Q358" s="600"/>
      <c r="R358" s="600"/>
      <c r="S358" s="600"/>
      <c r="T358" s="600"/>
      <c r="U358" s="600"/>
      <c r="V358" s="600"/>
      <c r="W358" s="600"/>
    </row>
    <row r="359" spans="1:23">
      <c r="A359" s="594">
        <v>354</v>
      </c>
      <c r="B359" s="597"/>
      <c r="C359" s="598" t="s">
        <v>156</v>
      </c>
      <c r="D359" s="599"/>
      <c r="E359" s="600"/>
      <c r="F359" s="600"/>
      <c r="G359" s="600"/>
      <c r="H359" s="600"/>
      <c r="I359" s="601"/>
      <c r="J359" s="601"/>
      <c r="K359" s="600"/>
      <c r="L359" s="600"/>
      <c r="M359" s="600"/>
      <c r="N359" s="602"/>
      <c r="O359" s="602"/>
      <c r="P359" s="600"/>
      <c r="Q359" s="600"/>
      <c r="R359" s="600"/>
      <c r="S359" s="600"/>
      <c r="T359" s="600"/>
      <c r="U359" s="600"/>
      <c r="V359" s="600"/>
      <c r="W359" s="600"/>
    </row>
    <row r="360" spans="1:23">
      <c r="A360" s="594">
        <v>355</v>
      </c>
      <c r="B360" s="597"/>
      <c r="C360" s="598" t="s">
        <v>156</v>
      </c>
      <c r="D360" s="599"/>
      <c r="E360" s="600"/>
      <c r="F360" s="600"/>
      <c r="G360" s="600"/>
      <c r="H360" s="600"/>
      <c r="I360" s="601"/>
      <c r="J360" s="601"/>
      <c r="K360" s="600"/>
      <c r="L360" s="600"/>
      <c r="M360" s="600"/>
      <c r="N360" s="602"/>
      <c r="O360" s="602"/>
      <c r="P360" s="600"/>
      <c r="Q360" s="600"/>
      <c r="R360" s="600"/>
      <c r="S360" s="600"/>
      <c r="T360" s="600"/>
      <c r="U360" s="600"/>
      <c r="V360" s="600"/>
      <c r="W360" s="600"/>
    </row>
    <row r="361" spans="1:23">
      <c r="A361" s="594">
        <v>356</v>
      </c>
      <c r="B361" s="597"/>
      <c r="C361" s="598" t="s">
        <v>156</v>
      </c>
      <c r="D361" s="599"/>
      <c r="E361" s="600"/>
      <c r="F361" s="600"/>
      <c r="G361" s="600"/>
      <c r="H361" s="600"/>
      <c r="I361" s="601"/>
      <c r="J361" s="601"/>
      <c r="K361" s="600"/>
      <c r="L361" s="600"/>
      <c r="M361" s="600"/>
      <c r="N361" s="602"/>
      <c r="O361" s="602"/>
      <c r="P361" s="600"/>
      <c r="Q361" s="600"/>
      <c r="R361" s="600"/>
      <c r="S361" s="600"/>
      <c r="T361" s="600"/>
      <c r="U361" s="600"/>
      <c r="V361" s="600"/>
      <c r="W361" s="600"/>
    </row>
    <row r="362" spans="1:23">
      <c r="A362" s="594">
        <v>357</v>
      </c>
      <c r="B362" s="597"/>
      <c r="C362" s="598" t="s">
        <v>156</v>
      </c>
      <c r="D362" s="599"/>
      <c r="E362" s="600"/>
      <c r="F362" s="600"/>
      <c r="G362" s="600"/>
      <c r="H362" s="600"/>
      <c r="I362" s="601"/>
      <c r="J362" s="601"/>
      <c r="K362" s="600"/>
      <c r="L362" s="600"/>
      <c r="M362" s="600"/>
      <c r="N362" s="602"/>
      <c r="O362" s="602"/>
      <c r="P362" s="600"/>
      <c r="Q362" s="600"/>
      <c r="R362" s="600"/>
      <c r="S362" s="600"/>
      <c r="T362" s="600"/>
      <c r="U362" s="600"/>
      <c r="V362" s="600"/>
      <c r="W362" s="600"/>
    </row>
    <row r="363" spans="1:23">
      <c r="A363" s="594">
        <v>358</v>
      </c>
      <c r="B363" s="597"/>
      <c r="C363" s="598" t="s">
        <v>156</v>
      </c>
      <c r="D363" s="599"/>
      <c r="E363" s="600"/>
      <c r="F363" s="600"/>
      <c r="G363" s="600"/>
      <c r="H363" s="600"/>
      <c r="I363" s="601"/>
      <c r="J363" s="601"/>
      <c r="K363" s="600"/>
      <c r="L363" s="600"/>
      <c r="M363" s="600"/>
      <c r="N363" s="602"/>
      <c r="O363" s="602"/>
      <c r="P363" s="600"/>
      <c r="Q363" s="600"/>
      <c r="R363" s="600"/>
      <c r="S363" s="600"/>
      <c r="T363" s="600"/>
      <c r="U363" s="600"/>
      <c r="V363" s="600"/>
      <c r="W363" s="600"/>
    </row>
    <row r="364" spans="1:23">
      <c r="A364" s="594">
        <v>359</v>
      </c>
      <c r="B364" s="597"/>
      <c r="C364" s="598" t="s">
        <v>156</v>
      </c>
      <c r="D364" s="599"/>
      <c r="E364" s="600"/>
      <c r="F364" s="600"/>
      <c r="G364" s="600"/>
      <c r="H364" s="600"/>
      <c r="I364" s="601"/>
      <c r="J364" s="601"/>
      <c r="K364" s="600"/>
      <c r="L364" s="600"/>
      <c r="M364" s="600"/>
      <c r="N364" s="602"/>
      <c r="O364" s="602"/>
      <c r="P364" s="600"/>
      <c r="Q364" s="600"/>
      <c r="R364" s="600"/>
      <c r="S364" s="600"/>
      <c r="T364" s="600"/>
      <c r="U364" s="600"/>
      <c r="V364" s="600"/>
      <c r="W364" s="600"/>
    </row>
    <row r="365" spans="1:23">
      <c r="A365" s="594">
        <v>360</v>
      </c>
      <c r="B365" s="597"/>
      <c r="C365" s="598" t="s">
        <v>156</v>
      </c>
      <c r="D365" s="599"/>
      <c r="E365" s="600"/>
      <c r="F365" s="600"/>
      <c r="G365" s="600"/>
      <c r="H365" s="600"/>
      <c r="I365" s="601"/>
      <c r="J365" s="601"/>
      <c r="K365" s="600"/>
      <c r="L365" s="600"/>
      <c r="M365" s="600"/>
      <c r="N365" s="602"/>
      <c r="O365" s="602"/>
      <c r="P365" s="600"/>
      <c r="Q365" s="600"/>
      <c r="R365" s="600"/>
      <c r="S365" s="600"/>
      <c r="T365" s="600"/>
      <c r="U365" s="600"/>
      <c r="V365" s="600"/>
      <c r="W365" s="600"/>
    </row>
    <row r="366" spans="1:23">
      <c r="A366" s="594">
        <v>361</v>
      </c>
      <c r="B366" s="597"/>
      <c r="C366" s="598" t="s">
        <v>156</v>
      </c>
      <c r="D366" s="599"/>
      <c r="E366" s="600"/>
      <c r="F366" s="600"/>
      <c r="G366" s="600"/>
      <c r="H366" s="600"/>
      <c r="I366" s="601"/>
      <c r="J366" s="601"/>
      <c r="K366" s="600"/>
      <c r="L366" s="600"/>
      <c r="M366" s="600"/>
      <c r="N366" s="602"/>
      <c r="O366" s="602"/>
      <c r="P366" s="600"/>
      <c r="Q366" s="600"/>
      <c r="R366" s="600"/>
      <c r="S366" s="600"/>
      <c r="T366" s="600"/>
      <c r="U366" s="600"/>
      <c r="V366" s="600"/>
      <c r="W366" s="600"/>
    </row>
    <row r="367" spans="1:23">
      <c r="A367" s="594">
        <v>362</v>
      </c>
      <c r="B367" s="597"/>
      <c r="C367" s="598" t="s">
        <v>156</v>
      </c>
      <c r="D367" s="599"/>
      <c r="E367" s="600"/>
      <c r="F367" s="600"/>
      <c r="G367" s="600"/>
      <c r="H367" s="600"/>
      <c r="I367" s="601"/>
      <c r="J367" s="601"/>
      <c r="K367" s="600"/>
      <c r="L367" s="600"/>
      <c r="M367" s="600"/>
      <c r="N367" s="602"/>
      <c r="O367" s="602"/>
      <c r="P367" s="600"/>
      <c r="Q367" s="600"/>
      <c r="R367" s="600"/>
      <c r="S367" s="600"/>
      <c r="T367" s="600"/>
      <c r="U367" s="600"/>
      <c r="V367" s="600"/>
      <c r="W367" s="600"/>
    </row>
    <row r="368" spans="1:23">
      <c r="A368" s="594">
        <v>363</v>
      </c>
      <c r="B368" s="597"/>
      <c r="C368" s="598" t="s">
        <v>156</v>
      </c>
      <c r="D368" s="599"/>
      <c r="E368" s="600"/>
      <c r="F368" s="600"/>
      <c r="G368" s="600"/>
      <c r="H368" s="600"/>
      <c r="I368" s="601"/>
      <c r="J368" s="601"/>
      <c r="K368" s="600"/>
      <c r="L368" s="600"/>
      <c r="M368" s="600"/>
      <c r="N368" s="602"/>
      <c r="O368" s="602"/>
      <c r="P368" s="600"/>
      <c r="Q368" s="600"/>
      <c r="R368" s="600"/>
      <c r="S368" s="600"/>
      <c r="T368" s="600"/>
      <c r="U368" s="600"/>
      <c r="V368" s="600"/>
      <c r="W368" s="600"/>
    </row>
    <row r="369" spans="1:3">
      <c r="A369" s="594">
        <v>364</v>
      </c>
      <c r="B369" s="597"/>
      <c r="C369" s="598" t="s">
        <v>156</v>
      </c>
    </row>
    <row r="370" spans="1:3">
      <c r="A370" s="594">
        <v>365</v>
      </c>
      <c r="B370" s="597"/>
      <c r="C370" s="598" t="s">
        <v>156</v>
      </c>
    </row>
    <row r="371" spans="1:3">
      <c r="A371" s="594">
        <v>366</v>
      </c>
      <c r="B371" s="597"/>
      <c r="C371" s="598" t="s">
        <v>156</v>
      </c>
    </row>
    <row r="372" spans="1:3">
      <c r="A372" s="594">
        <v>367</v>
      </c>
      <c r="B372" s="597"/>
      <c r="C372" s="598" t="s">
        <v>156</v>
      </c>
    </row>
    <row r="373" spans="1:3">
      <c r="A373" s="594">
        <v>368</v>
      </c>
      <c r="B373" s="597"/>
      <c r="C373" s="598" t="s">
        <v>156</v>
      </c>
    </row>
    <row r="374" spans="1:3">
      <c r="A374" s="594">
        <v>369</v>
      </c>
      <c r="B374" s="597"/>
      <c r="C374" s="598" t="s">
        <v>156</v>
      </c>
    </row>
    <row r="375" spans="1:3">
      <c r="A375" s="594">
        <v>370</v>
      </c>
      <c r="B375" s="597"/>
      <c r="C375" s="598" t="s">
        <v>156</v>
      </c>
    </row>
    <row r="376" spans="1:3">
      <c r="A376" s="594">
        <v>371</v>
      </c>
      <c r="B376" s="597"/>
      <c r="C376" s="598" t="s">
        <v>156</v>
      </c>
    </row>
    <row r="377" spans="1:3">
      <c r="A377" s="594">
        <v>372</v>
      </c>
      <c r="B377" s="597"/>
      <c r="C377" s="598" t="s">
        <v>156</v>
      </c>
    </row>
    <row r="378" spans="1:3">
      <c r="A378" s="594">
        <v>373</v>
      </c>
      <c r="B378" s="597"/>
      <c r="C378" s="598" t="s">
        <v>156</v>
      </c>
    </row>
    <row r="379" spans="1:3">
      <c r="A379" s="594">
        <v>374</v>
      </c>
      <c r="B379" s="597"/>
      <c r="C379" s="598" t="s">
        <v>156</v>
      </c>
    </row>
    <row r="380" spans="1:3">
      <c r="A380" s="594">
        <v>375</v>
      </c>
      <c r="B380" s="597"/>
      <c r="C380" s="598" t="s">
        <v>156</v>
      </c>
    </row>
    <row r="381" spans="1:3">
      <c r="A381" s="594">
        <v>376</v>
      </c>
      <c r="B381" s="597"/>
      <c r="C381" s="598" t="s">
        <v>156</v>
      </c>
    </row>
    <row r="382" spans="1:3">
      <c r="A382" s="594">
        <v>377</v>
      </c>
      <c r="B382" s="597"/>
      <c r="C382" s="598" t="s">
        <v>156</v>
      </c>
    </row>
    <row r="383" spans="1:3">
      <c r="A383" s="594">
        <v>378</v>
      </c>
      <c r="B383" s="597"/>
      <c r="C383" s="598" t="s">
        <v>156</v>
      </c>
    </row>
    <row r="384" spans="1:3">
      <c r="A384" s="594">
        <v>379</v>
      </c>
      <c r="B384" s="597"/>
      <c r="C384" s="598" t="s">
        <v>156</v>
      </c>
    </row>
    <row r="385" spans="1:3">
      <c r="A385" s="594">
        <v>380</v>
      </c>
      <c r="B385" s="597"/>
      <c r="C385" s="598" t="s">
        <v>156</v>
      </c>
    </row>
    <row r="386" spans="1:3">
      <c r="A386" s="594">
        <v>381</v>
      </c>
      <c r="B386" s="597"/>
      <c r="C386" s="598" t="s">
        <v>156</v>
      </c>
    </row>
    <row r="387" spans="1:3">
      <c r="A387" s="594">
        <v>382</v>
      </c>
      <c r="B387" s="597"/>
      <c r="C387" s="598" t="s">
        <v>156</v>
      </c>
    </row>
    <row r="388" spans="1:3">
      <c r="A388" s="594">
        <v>383</v>
      </c>
      <c r="B388" s="597"/>
      <c r="C388" s="598" t="s">
        <v>156</v>
      </c>
    </row>
    <row r="389" spans="1:3">
      <c r="A389" s="594">
        <v>384</v>
      </c>
      <c r="B389" s="597"/>
      <c r="C389" s="598" t="s">
        <v>156</v>
      </c>
    </row>
    <row r="390" spans="1:3">
      <c r="A390" s="594">
        <v>385</v>
      </c>
      <c r="B390" s="597"/>
      <c r="C390" s="598" t="s">
        <v>156</v>
      </c>
    </row>
    <row r="391" spans="1:3">
      <c r="A391" s="594">
        <v>386</v>
      </c>
      <c r="B391" s="597"/>
      <c r="C391" s="598" t="s">
        <v>156</v>
      </c>
    </row>
    <row r="392" spans="1:3">
      <c r="A392" s="594">
        <v>387</v>
      </c>
      <c r="B392" s="597"/>
      <c r="C392" s="598" t="s">
        <v>156</v>
      </c>
    </row>
    <row r="393" spans="1:3">
      <c r="A393" s="594">
        <v>388</v>
      </c>
      <c r="B393" s="597"/>
      <c r="C393" s="598" t="s">
        <v>156</v>
      </c>
    </row>
    <row r="394" spans="1:3">
      <c r="A394" s="594">
        <v>389</v>
      </c>
      <c r="B394" s="597"/>
      <c r="C394" s="598" t="s">
        <v>156</v>
      </c>
    </row>
    <row r="395" spans="1:3">
      <c r="A395" s="594">
        <v>390</v>
      </c>
      <c r="B395" s="597"/>
      <c r="C395" s="598" t="s">
        <v>156</v>
      </c>
    </row>
    <row r="396" spans="1:3">
      <c r="A396" s="594">
        <v>391</v>
      </c>
      <c r="B396" s="597"/>
      <c r="C396" s="598" t="s">
        <v>156</v>
      </c>
    </row>
    <row r="397" spans="1:3">
      <c r="A397" s="594">
        <v>392</v>
      </c>
      <c r="B397" s="597"/>
      <c r="C397" s="598" t="s">
        <v>156</v>
      </c>
    </row>
    <row r="398" spans="1:3">
      <c r="A398" s="594">
        <v>393</v>
      </c>
      <c r="B398" s="597"/>
      <c r="C398" s="598" t="s">
        <v>156</v>
      </c>
    </row>
    <row r="399" spans="1:3">
      <c r="A399" s="594">
        <v>394</v>
      </c>
      <c r="B399" s="597"/>
      <c r="C399" s="598" t="s">
        <v>156</v>
      </c>
    </row>
    <row r="400" spans="1:3">
      <c r="A400" s="594">
        <v>395</v>
      </c>
      <c r="B400" s="597"/>
      <c r="C400" s="598" t="s">
        <v>156</v>
      </c>
    </row>
    <row r="401" spans="1:3">
      <c r="A401" s="594">
        <v>396</v>
      </c>
      <c r="B401" s="597"/>
      <c r="C401" s="598" t="s">
        <v>156</v>
      </c>
    </row>
    <row r="402" spans="1:3">
      <c r="A402" s="594">
        <v>397</v>
      </c>
      <c r="B402" s="597"/>
      <c r="C402" s="598" t="s">
        <v>156</v>
      </c>
    </row>
    <row r="403" spans="1:3">
      <c r="A403" s="594">
        <v>398</v>
      </c>
      <c r="B403" s="597"/>
      <c r="C403" s="598" t="s">
        <v>156</v>
      </c>
    </row>
    <row r="404" spans="1:3">
      <c r="A404" s="594">
        <v>399</v>
      </c>
      <c r="B404" s="597"/>
      <c r="C404" s="598" t="s">
        <v>156</v>
      </c>
    </row>
    <row r="405" spans="1:3">
      <c r="A405" s="594">
        <v>400</v>
      </c>
      <c r="B405" s="597"/>
      <c r="C405" s="598" t="s">
        <v>156</v>
      </c>
    </row>
    <row r="406" spans="1:3">
      <c r="A406" s="594">
        <v>401</v>
      </c>
      <c r="B406" s="597"/>
      <c r="C406" s="598" t="s">
        <v>156</v>
      </c>
    </row>
    <row r="407" spans="1:3">
      <c r="A407" s="594">
        <v>402</v>
      </c>
      <c r="B407" s="597"/>
      <c r="C407" s="598" t="s">
        <v>156</v>
      </c>
    </row>
    <row r="408" spans="1:3">
      <c r="A408" s="594">
        <v>403</v>
      </c>
      <c r="B408" s="597"/>
      <c r="C408" s="598" t="s">
        <v>156</v>
      </c>
    </row>
    <row r="409" spans="1:3">
      <c r="A409" s="594">
        <v>404</v>
      </c>
      <c r="B409" s="597"/>
      <c r="C409" s="598" t="s">
        <v>156</v>
      </c>
    </row>
    <row r="410" spans="1:3">
      <c r="A410" s="594">
        <v>405</v>
      </c>
      <c r="B410" s="597"/>
      <c r="C410" s="598" t="s">
        <v>156</v>
      </c>
    </row>
    <row r="411" spans="1:3">
      <c r="A411" s="594">
        <v>406</v>
      </c>
      <c r="B411" s="597"/>
      <c r="C411" s="598" t="s">
        <v>156</v>
      </c>
    </row>
    <row r="412" spans="1:3">
      <c r="A412" s="594">
        <v>407</v>
      </c>
      <c r="B412" s="597"/>
      <c r="C412" s="598" t="s">
        <v>156</v>
      </c>
    </row>
    <row r="413" spans="1:3">
      <c r="A413" s="594">
        <v>408</v>
      </c>
      <c r="B413" s="597"/>
      <c r="C413" s="598" t="s">
        <v>156</v>
      </c>
    </row>
    <row r="414" spans="1:3">
      <c r="A414" s="594">
        <v>409</v>
      </c>
      <c r="B414" s="597"/>
      <c r="C414" s="598" t="s">
        <v>156</v>
      </c>
    </row>
    <row r="415" spans="1:3">
      <c r="A415" s="594">
        <v>410</v>
      </c>
      <c r="B415" s="597"/>
      <c r="C415" s="598" t="s">
        <v>156</v>
      </c>
    </row>
    <row r="416" spans="1:3">
      <c r="A416" s="594">
        <v>411</v>
      </c>
      <c r="B416" s="597"/>
      <c r="C416" s="598" t="s">
        <v>156</v>
      </c>
    </row>
    <row r="417" spans="1:3">
      <c r="A417" s="594">
        <v>412</v>
      </c>
      <c r="B417" s="597"/>
      <c r="C417" s="598" t="s">
        <v>156</v>
      </c>
    </row>
    <row r="418" spans="1:3">
      <c r="A418" s="594">
        <v>413</v>
      </c>
      <c r="B418" s="597"/>
      <c r="C418" s="598" t="s">
        <v>156</v>
      </c>
    </row>
    <row r="419" spans="1:3">
      <c r="A419" s="594">
        <v>414</v>
      </c>
      <c r="B419" s="597"/>
      <c r="C419" s="598" t="s">
        <v>156</v>
      </c>
    </row>
    <row r="420" spans="1:3">
      <c r="A420" s="594">
        <v>415</v>
      </c>
      <c r="B420" s="597"/>
      <c r="C420" s="598" t="s">
        <v>156</v>
      </c>
    </row>
    <row r="421" spans="1:3">
      <c r="A421" s="594">
        <v>416</v>
      </c>
      <c r="B421" s="597"/>
      <c r="C421" s="598" t="s">
        <v>156</v>
      </c>
    </row>
    <row r="422" spans="1:3">
      <c r="A422" s="594">
        <v>417</v>
      </c>
      <c r="B422" s="597"/>
      <c r="C422" s="598" t="s">
        <v>156</v>
      </c>
    </row>
    <row r="423" spans="1:3">
      <c r="A423" s="594">
        <v>418</v>
      </c>
      <c r="B423" s="597"/>
      <c r="C423" s="598" t="s">
        <v>156</v>
      </c>
    </row>
    <row r="424" spans="1:3">
      <c r="A424" s="594">
        <v>419</v>
      </c>
      <c r="B424" s="597"/>
      <c r="C424" s="598" t="s">
        <v>156</v>
      </c>
    </row>
    <row r="425" spans="1:3">
      <c r="A425" s="594">
        <v>420</v>
      </c>
      <c r="B425" s="597"/>
      <c r="C425" s="598" t="s">
        <v>156</v>
      </c>
    </row>
    <row r="426" spans="1:3">
      <c r="A426" s="594">
        <v>421</v>
      </c>
      <c r="B426" s="597"/>
      <c r="C426" s="598" t="s">
        <v>156</v>
      </c>
    </row>
    <row r="427" spans="1:3">
      <c r="A427" s="594">
        <v>422</v>
      </c>
      <c r="B427" s="597"/>
      <c r="C427" s="598" t="s">
        <v>156</v>
      </c>
    </row>
    <row r="428" spans="1:3">
      <c r="A428" s="594">
        <v>423</v>
      </c>
      <c r="B428" s="597"/>
      <c r="C428" s="598" t="s">
        <v>156</v>
      </c>
    </row>
    <row r="429" spans="1:3">
      <c r="A429" s="594">
        <v>424</v>
      </c>
      <c r="B429" s="597"/>
      <c r="C429" s="598" t="s">
        <v>156</v>
      </c>
    </row>
    <row r="430" spans="1:3">
      <c r="A430" s="594">
        <v>425</v>
      </c>
      <c r="B430" s="597"/>
      <c r="C430" s="598" t="s">
        <v>156</v>
      </c>
    </row>
    <row r="431" spans="1:3">
      <c r="A431" s="594">
        <v>426</v>
      </c>
      <c r="B431" s="597"/>
      <c r="C431" s="598" t="s">
        <v>156</v>
      </c>
    </row>
    <row r="432" spans="1:3">
      <c r="A432" s="594">
        <v>427</v>
      </c>
      <c r="B432" s="597"/>
      <c r="C432" s="598" t="s">
        <v>156</v>
      </c>
    </row>
    <row r="433" spans="1:3">
      <c r="A433" s="594">
        <v>428</v>
      </c>
      <c r="B433" s="597"/>
      <c r="C433" s="598" t="s">
        <v>156</v>
      </c>
    </row>
    <row r="434" spans="1:3">
      <c r="A434" s="594">
        <v>429</v>
      </c>
      <c r="B434" s="597"/>
      <c r="C434" s="598" t="s">
        <v>156</v>
      </c>
    </row>
    <row r="435" spans="1:3">
      <c r="A435" s="594">
        <v>430</v>
      </c>
      <c r="B435" s="597"/>
      <c r="C435" s="598" t="s">
        <v>156</v>
      </c>
    </row>
    <row r="436" spans="1:3">
      <c r="A436" s="594">
        <v>431</v>
      </c>
      <c r="B436" s="597"/>
      <c r="C436" s="598" t="s">
        <v>156</v>
      </c>
    </row>
    <row r="437" spans="1:3">
      <c r="A437" s="594">
        <v>432</v>
      </c>
      <c r="B437" s="597"/>
      <c r="C437" s="598" t="s">
        <v>156</v>
      </c>
    </row>
    <row r="438" spans="1:3">
      <c r="A438" s="594">
        <v>433</v>
      </c>
      <c r="B438" s="597"/>
      <c r="C438" s="598" t="s">
        <v>156</v>
      </c>
    </row>
    <row r="439" spans="1:3">
      <c r="A439" s="594">
        <v>434</v>
      </c>
      <c r="B439" s="597"/>
      <c r="C439" s="598" t="s">
        <v>156</v>
      </c>
    </row>
    <row r="440" spans="1:3">
      <c r="A440" s="594">
        <v>435</v>
      </c>
      <c r="B440" s="597"/>
      <c r="C440" s="598" t="s">
        <v>156</v>
      </c>
    </row>
    <row r="441" spans="1:3">
      <c r="A441" s="594">
        <v>436</v>
      </c>
      <c r="B441" s="597"/>
      <c r="C441" s="598" t="s">
        <v>156</v>
      </c>
    </row>
    <row r="442" spans="1:3">
      <c r="A442" s="594">
        <v>437</v>
      </c>
      <c r="B442" s="597"/>
      <c r="C442" s="598" t="s">
        <v>156</v>
      </c>
    </row>
    <row r="443" spans="1:3">
      <c r="A443" s="594">
        <v>438</v>
      </c>
      <c r="B443" s="597"/>
      <c r="C443" s="598" t="s">
        <v>156</v>
      </c>
    </row>
    <row r="444" spans="1:3">
      <c r="A444" s="594">
        <v>439</v>
      </c>
      <c r="B444" s="597"/>
      <c r="C444" s="598" t="s">
        <v>156</v>
      </c>
    </row>
    <row r="445" spans="1:3">
      <c r="A445" s="594">
        <v>440</v>
      </c>
      <c r="B445" s="597"/>
      <c r="C445" s="598" t="s">
        <v>156</v>
      </c>
    </row>
    <row r="446" spans="1:3">
      <c r="A446" s="594">
        <v>441</v>
      </c>
      <c r="B446" s="597"/>
      <c r="C446" s="598" t="s">
        <v>156</v>
      </c>
    </row>
    <row r="447" spans="1:3">
      <c r="A447" s="594">
        <v>442</v>
      </c>
      <c r="B447" s="597"/>
      <c r="C447" s="598" t="s">
        <v>156</v>
      </c>
    </row>
    <row r="448" spans="1:3">
      <c r="A448" s="594">
        <v>443</v>
      </c>
      <c r="B448" s="597"/>
      <c r="C448" s="598" t="s">
        <v>156</v>
      </c>
    </row>
    <row r="449" spans="1:3">
      <c r="A449" s="594">
        <v>444</v>
      </c>
      <c r="B449" s="597"/>
      <c r="C449" s="598" t="s">
        <v>156</v>
      </c>
    </row>
    <row r="450" spans="1:3">
      <c r="A450" s="594">
        <v>445</v>
      </c>
      <c r="B450" s="597"/>
      <c r="C450" s="598" t="s">
        <v>156</v>
      </c>
    </row>
    <row r="451" spans="1:3">
      <c r="A451" s="594">
        <v>446</v>
      </c>
      <c r="B451" s="597"/>
      <c r="C451" s="598" t="s">
        <v>156</v>
      </c>
    </row>
    <row r="452" spans="1:3">
      <c r="A452" s="594">
        <v>447</v>
      </c>
      <c r="B452" s="597"/>
      <c r="C452" s="598" t="s">
        <v>156</v>
      </c>
    </row>
    <row r="453" spans="1:3">
      <c r="A453" s="594">
        <v>448</v>
      </c>
      <c r="B453" s="597"/>
      <c r="C453" s="598" t="s">
        <v>156</v>
      </c>
    </row>
    <row r="454" spans="1:3">
      <c r="A454" s="594">
        <v>449</v>
      </c>
      <c r="B454" s="597"/>
      <c r="C454" s="598" t="s">
        <v>156</v>
      </c>
    </row>
    <row r="455" spans="1:3">
      <c r="A455" s="594">
        <v>450</v>
      </c>
      <c r="B455" s="597"/>
      <c r="C455" s="598" t="s">
        <v>156</v>
      </c>
    </row>
    <row r="456" spans="1:3">
      <c r="A456" s="594">
        <v>451</v>
      </c>
      <c r="B456" s="597"/>
      <c r="C456" s="598" t="s">
        <v>156</v>
      </c>
    </row>
    <row r="457" spans="1:3">
      <c r="A457" s="594">
        <v>452</v>
      </c>
      <c r="B457" s="597"/>
      <c r="C457" s="598" t="s">
        <v>156</v>
      </c>
    </row>
    <row r="458" spans="1:3">
      <c r="A458" s="594">
        <v>453</v>
      </c>
      <c r="B458" s="597"/>
      <c r="C458" s="598" t="s">
        <v>156</v>
      </c>
    </row>
    <row r="459" spans="1:3">
      <c r="A459" s="594">
        <v>454</v>
      </c>
      <c r="B459" s="597"/>
      <c r="C459" s="598" t="s">
        <v>156</v>
      </c>
    </row>
    <row r="460" spans="1:3">
      <c r="A460" s="594">
        <v>455</v>
      </c>
      <c r="B460" s="597"/>
      <c r="C460" s="598" t="s">
        <v>156</v>
      </c>
    </row>
    <row r="461" spans="1:3">
      <c r="A461" s="594">
        <v>456</v>
      </c>
      <c r="B461" s="597"/>
      <c r="C461" s="598" t="s">
        <v>156</v>
      </c>
    </row>
    <row r="462" spans="1:3">
      <c r="A462" s="594">
        <v>457</v>
      </c>
      <c r="B462" s="597"/>
      <c r="C462" s="598" t="s">
        <v>156</v>
      </c>
    </row>
    <row r="463" spans="1:3">
      <c r="A463" s="594">
        <v>458</v>
      </c>
      <c r="B463" s="597"/>
      <c r="C463" s="598" t="s">
        <v>156</v>
      </c>
    </row>
    <row r="464" spans="1:3">
      <c r="A464" s="594">
        <v>459</v>
      </c>
      <c r="B464" s="597"/>
      <c r="C464" s="598" t="s">
        <v>156</v>
      </c>
    </row>
    <row r="465" spans="1:3">
      <c r="A465" s="594">
        <v>460</v>
      </c>
      <c r="B465" s="597"/>
      <c r="C465" s="598" t="s">
        <v>156</v>
      </c>
    </row>
    <row r="466" spans="1:3">
      <c r="A466" s="594">
        <v>461</v>
      </c>
      <c r="B466" s="597"/>
      <c r="C466" s="598" t="s">
        <v>156</v>
      </c>
    </row>
    <row r="467" spans="1:3">
      <c r="A467" s="594">
        <v>462</v>
      </c>
      <c r="B467" s="597"/>
      <c r="C467" s="598" t="s">
        <v>156</v>
      </c>
    </row>
    <row r="468" spans="1:3">
      <c r="A468" s="594">
        <v>463</v>
      </c>
      <c r="B468" s="597"/>
      <c r="C468" s="598" t="s">
        <v>156</v>
      </c>
    </row>
    <row r="469" spans="1:3">
      <c r="A469" s="594">
        <v>464</v>
      </c>
      <c r="B469" s="597"/>
      <c r="C469" s="598" t="s">
        <v>156</v>
      </c>
    </row>
    <row r="470" spans="1:3">
      <c r="A470" s="594">
        <v>465</v>
      </c>
      <c r="B470" s="597"/>
      <c r="C470" s="598" t="s">
        <v>156</v>
      </c>
    </row>
    <row r="471" spans="1:3">
      <c r="A471" s="594">
        <v>466</v>
      </c>
      <c r="B471" s="597"/>
      <c r="C471" s="598" t="s">
        <v>156</v>
      </c>
    </row>
    <row r="472" spans="1:3">
      <c r="A472" s="594">
        <v>467</v>
      </c>
      <c r="B472" s="597"/>
      <c r="C472" s="598" t="s">
        <v>156</v>
      </c>
    </row>
    <row r="473" spans="1:3">
      <c r="A473" s="594">
        <v>468</v>
      </c>
      <c r="B473" s="597"/>
      <c r="C473" s="598" t="s">
        <v>156</v>
      </c>
    </row>
    <row r="474" spans="1:3">
      <c r="A474" s="594">
        <v>469</v>
      </c>
      <c r="B474" s="597"/>
      <c r="C474" s="598" t="s">
        <v>156</v>
      </c>
    </row>
    <row r="475" spans="1:3">
      <c r="A475" s="594">
        <v>470</v>
      </c>
      <c r="B475" s="597"/>
      <c r="C475" s="598" t="s">
        <v>156</v>
      </c>
    </row>
    <row r="476" spans="1:3">
      <c r="A476" s="594">
        <v>471</v>
      </c>
      <c r="B476" s="597"/>
      <c r="C476" s="598" t="s">
        <v>156</v>
      </c>
    </row>
    <row r="477" spans="1:3">
      <c r="A477" s="594">
        <v>472</v>
      </c>
      <c r="B477" s="597"/>
      <c r="C477" s="598" t="s">
        <v>156</v>
      </c>
    </row>
    <row r="478" spans="1:3">
      <c r="A478" s="594">
        <v>473</v>
      </c>
      <c r="B478" s="597"/>
      <c r="C478" s="598" t="s">
        <v>156</v>
      </c>
    </row>
    <row r="479" spans="1:3">
      <c r="A479" s="594">
        <v>474</v>
      </c>
      <c r="B479" s="597"/>
      <c r="C479" s="598" t="s">
        <v>156</v>
      </c>
    </row>
    <row r="480" spans="1:3">
      <c r="A480" s="594">
        <v>475</v>
      </c>
      <c r="B480" s="597"/>
      <c r="C480" s="598" t="s">
        <v>156</v>
      </c>
    </row>
    <row r="481" spans="1:3">
      <c r="A481" s="594">
        <v>476</v>
      </c>
      <c r="B481" s="597"/>
      <c r="C481" s="598" t="s">
        <v>156</v>
      </c>
    </row>
    <row r="482" spans="1:3">
      <c r="A482" s="594">
        <v>477</v>
      </c>
      <c r="B482" s="597"/>
      <c r="C482" s="598" t="s">
        <v>156</v>
      </c>
    </row>
    <row r="483" spans="1:3">
      <c r="A483" s="594">
        <v>478</v>
      </c>
      <c r="B483" s="597"/>
      <c r="C483" s="598" t="s">
        <v>156</v>
      </c>
    </row>
    <row r="484" spans="1:3">
      <c r="A484" s="594">
        <v>479</v>
      </c>
      <c r="B484" s="597"/>
      <c r="C484" s="598" t="s">
        <v>156</v>
      </c>
    </row>
    <row r="485" spans="1:3">
      <c r="A485" s="594">
        <v>480</v>
      </c>
      <c r="B485" s="597"/>
      <c r="C485" s="598" t="s">
        <v>156</v>
      </c>
    </row>
    <row r="486" spans="1:3">
      <c r="A486" s="594">
        <v>481</v>
      </c>
      <c r="B486" s="597"/>
      <c r="C486" s="598" t="s">
        <v>156</v>
      </c>
    </row>
    <row r="487" spans="1:3">
      <c r="A487" s="594">
        <v>482</v>
      </c>
      <c r="B487" s="597"/>
      <c r="C487" s="598" t="s">
        <v>156</v>
      </c>
    </row>
    <row r="488" spans="1:3">
      <c r="A488" s="594">
        <v>483</v>
      </c>
      <c r="B488" s="597"/>
      <c r="C488" s="598" t="s">
        <v>156</v>
      </c>
    </row>
    <row r="489" spans="1:3">
      <c r="A489" s="594">
        <v>484</v>
      </c>
      <c r="B489" s="597"/>
      <c r="C489" s="598" t="s">
        <v>156</v>
      </c>
    </row>
    <row r="490" spans="1:3">
      <c r="A490" s="594">
        <v>485</v>
      </c>
      <c r="B490" s="597"/>
      <c r="C490" s="598" t="s">
        <v>156</v>
      </c>
    </row>
    <row r="491" spans="1:3">
      <c r="A491" s="594">
        <v>486</v>
      </c>
      <c r="B491" s="597"/>
      <c r="C491" s="598" t="s">
        <v>156</v>
      </c>
    </row>
    <row r="492" spans="1:3">
      <c r="A492" s="594">
        <v>487</v>
      </c>
      <c r="B492" s="597"/>
      <c r="C492" s="598" t="s">
        <v>156</v>
      </c>
    </row>
    <row r="493" spans="1:3">
      <c r="A493" s="594">
        <v>488</v>
      </c>
      <c r="B493" s="597"/>
      <c r="C493" s="598" t="s">
        <v>156</v>
      </c>
    </row>
    <row r="494" spans="1:3">
      <c r="A494" s="594">
        <v>489</v>
      </c>
      <c r="B494" s="597"/>
      <c r="C494" s="598" t="s">
        <v>156</v>
      </c>
    </row>
    <row r="495" spans="1:3">
      <c r="A495" s="594">
        <v>490</v>
      </c>
      <c r="B495" s="597"/>
      <c r="C495" s="598" t="s">
        <v>156</v>
      </c>
    </row>
    <row r="496" spans="1:3">
      <c r="A496" s="594">
        <v>491</v>
      </c>
      <c r="B496" s="597"/>
      <c r="C496" s="598" t="s">
        <v>156</v>
      </c>
    </row>
    <row r="497" spans="1:3">
      <c r="A497" s="594">
        <v>492</v>
      </c>
      <c r="B497" s="597"/>
      <c r="C497" s="598" t="s">
        <v>156</v>
      </c>
    </row>
    <row r="498" spans="1:3">
      <c r="A498" s="594">
        <v>493</v>
      </c>
      <c r="B498" s="597"/>
      <c r="C498" s="598" t="s">
        <v>156</v>
      </c>
    </row>
    <row r="499" spans="1:3">
      <c r="A499" s="594">
        <v>494</v>
      </c>
      <c r="B499" s="597"/>
      <c r="C499" s="598" t="s">
        <v>156</v>
      </c>
    </row>
    <row r="500" spans="1:3">
      <c r="A500" s="594">
        <v>495</v>
      </c>
      <c r="B500" s="597"/>
      <c r="C500" s="598" t="s">
        <v>156</v>
      </c>
    </row>
    <row r="501" spans="1:3">
      <c r="A501" s="594">
        <v>496</v>
      </c>
      <c r="B501" s="597"/>
      <c r="C501" s="598" t="s">
        <v>156</v>
      </c>
    </row>
    <row r="502" spans="1:3">
      <c r="A502" s="594">
        <v>497</v>
      </c>
      <c r="B502" s="597"/>
      <c r="C502" s="598" t="s">
        <v>156</v>
      </c>
    </row>
    <row r="503" spans="1:3">
      <c r="A503" s="594">
        <v>498</v>
      </c>
      <c r="B503" s="597"/>
      <c r="C503" s="598" t="s">
        <v>156</v>
      </c>
    </row>
    <row r="504" spans="1:3">
      <c r="A504" s="594">
        <v>499</v>
      </c>
      <c r="B504" s="597"/>
      <c r="C504" s="598" t="s">
        <v>156</v>
      </c>
    </row>
    <row r="505" spans="1:3">
      <c r="A505" s="594">
        <v>500</v>
      </c>
      <c r="B505" s="597"/>
      <c r="C505" s="598" t="s">
        <v>156</v>
      </c>
    </row>
    <row r="506" spans="1:3">
      <c r="A506" s="594">
        <v>501</v>
      </c>
      <c r="B506" s="597"/>
      <c r="C506" s="598" t="s">
        <v>156</v>
      </c>
    </row>
    <row r="507" spans="1:3">
      <c r="A507" s="594">
        <v>502</v>
      </c>
      <c r="B507" s="597"/>
      <c r="C507" s="598" t="s">
        <v>156</v>
      </c>
    </row>
    <row r="508" spans="1:3">
      <c r="A508" s="594">
        <v>503</v>
      </c>
      <c r="B508" s="597"/>
      <c r="C508" s="598" t="s">
        <v>156</v>
      </c>
    </row>
    <row r="509" spans="1:3">
      <c r="A509" s="594">
        <v>504</v>
      </c>
      <c r="B509" s="597"/>
      <c r="C509" s="598" t="s">
        <v>156</v>
      </c>
    </row>
    <row r="510" spans="1:3">
      <c r="A510" s="594">
        <v>505</v>
      </c>
      <c r="B510" s="597"/>
      <c r="C510" s="598" t="s">
        <v>156</v>
      </c>
    </row>
    <row r="511" spans="1:3">
      <c r="A511" s="594">
        <v>506</v>
      </c>
      <c r="B511" s="597"/>
      <c r="C511" s="598" t="s">
        <v>156</v>
      </c>
    </row>
    <row r="512" spans="1:3">
      <c r="A512" s="594">
        <v>507</v>
      </c>
      <c r="B512" s="597"/>
      <c r="C512" s="598" t="s">
        <v>156</v>
      </c>
    </row>
    <row r="513" spans="1:3">
      <c r="A513" s="594">
        <v>508</v>
      </c>
      <c r="B513" s="597"/>
      <c r="C513" s="598" t="s">
        <v>156</v>
      </c>
    </row>
    <row r="514" spans="1:3">
      <c r="A514" s="594">
        <v>509</v>
      </c>
      <c r="B514" s="597"/>
      <c r="C514" s="598" t="s">
        <v>156</v>
      </c>
    </row>
    <row r="515" spans="1:3">
      <c r="A515" s="594">
        <v>510</v>
      </c>
      <c r="B515" s="597"/>
      <c r="C515" s="598" t="s">
        <v>156</v>
      </c>
    </row>
    <row r="516" spans="1:3">
      <c r="A516" s="594">
        <v>511</v>
      </c>
      <c r="B516" s="597"/>
      <c r="C516" s="598" t="s">
        <v>156</v>
      </c>
    </row>
    <row r="517" spans="1:3">
      <c r="A517" s="594">
        <v>512</v>
      </c>
      <c r="B517" s="597"/>
      <c r="C517" s="598" t="s">
        <v>156</v>
      </c>
    </row>
    <row r="518" spans="1:3">
      <c r="A518" s="594">
        <v>513</v>
      </c>
      <c r="B518" s="597"/>
      <c r="C518" s="598" t="s">
        <v>156</v>
      </c>
    </row>
    <row r="519" spans="1:3">
      <c r="A519" s="594">
        <v>514</v>
      </c>
      <c r="B519" s="597"/>
      <c r="C519" s="598" t="s">
        <v>156</v>
      </c>
    </row>
    <row r="520" spans="1:3">
      <c r="A520" s="594">
        <v>515</v>
      </c>
      <c r="B520" s="597"/>
      <c r="C520" s="598" t="s">
        <v>156</v>
      </c>
    </row>
    <row r="521" spans="1:3">
      <c r="A521" s="594">
        <v>516</v>
      </c>
      <c r="B521" s="597"/>
      <c r="C521" s="598" t="s">
        <v>156</v>
      </c>
    </row>
    <row r="522" spans="1:3">
      <c r="A522" s="594">
        <v>517</v>
      </c>
      <c r="B522" s="597"/>
      <c r="C522" s="598" t="s">
        <v>156</v>
      </c>
    </row>
    <row r="523" spans="1:3">
      <c r="A523" s="594">
        <v>518</v>
      </c>
      <c r="B523" s="597"/>
      <c r="C523" s="598" t="s">
        <v>156</v>
      </c>
    </row>
    <row r="524" spans="1:3">
      <c r="A524" s="594">
        <v>519</v>
      </c>
      <c r="B524" s="597"/>
      <c r="C524" s="598" t="s">
        <v>156</v>
      </c>
    </row>
    <row r="525" spans="1:3">
      <c r="A525" s="594">
        <v>520</v>
      </c>
      <c r="B525" s="597"/>
      <c r="C525" s="598" t="s">
        <v>156</v>
      </c>
    </row>
    <row r="526" spans="1:3">
      <c r="A526" s="594">
        <v>521</v>
      </c>
      <c r="B526" s="597"/>
      <c r="C526" s="598" t="s">
        <v>156</v>
      </c>
    </row>
    <row r="527" spans="1:3">
      <c r="A527" s="594">
        <v>522</v>
      </c>
      <c r="B527" s="597"/>
      <c r="C527" s="598" t="s">
        <v>156</v>
      </c>
    </row>
    <row r="528" spans="1:3">
      <c r="A528" s="594">
        <v>523</v>
      </c>
      <c r="B528" s="597"/>
      <c r="C528" s="598" t="s">
        <v>156</v>
      </c>
    </row>
    <row r="529" spans="1:3">
      <c r="A529" s="594">
        <v>524</v>
      </c>
      <c r="B529" s="597"/>
      <c r="C529" s="598" t="s">
        <v>156</v>
      </c>
    </row>
    <row r="530" spans="1:3">
      <c r="A530" s="594">
        <v>525</v>
      </c>
      <c r="B530" s="597"/>
      <c r="C530" s="598" t="s">
        <v>156</v>
      </c>
    </row>
    <row r="531" spans="1:3">
      <c r="A531" s="594">
        <v>526</v>
      </c>
      <c r="B531" s="597"/>
      <c r="C531" s="598" t="s">
        <v>156</v>
      </c>
    </row>
    <row r="532" spans="1:3">
      <c r="A532" s="594">
        <v>527</v>
      </c>
      <c r="B532" s="597"/>
      <c r="C532" s="598" t="s">
        <v>156</v>
      </c>
    </row>
    <row r="533" spans="1:3">
      <c r="A533" s="594">
        <v>528</v>
      </c>
      <c r="B533" s="597"/>
      <c r="C533" s="598" t="s">
        <v>156</v>
      </c>
    </row>
    <row r="534" spans="1:3">
      <c r="A534" s="594">
        <v>529</v>
      </c>
      <c r="B534" s="597"/>
      <c r="C534" s="598" t="s">
        <v>156</v>
      </c>
    </row>
    <row r="535" spans="1:3">
      <c r="A535" s="594">
        <v>530</v>
      </c>
      <c r="B535" s="597"/>
      <c r="C535" s="598" t="s">
        <v>156</v>
      </c>
    </row>
    <row r="536" spans="1:3">
      <c r="A536" s="594">
        <v>531</v>
      </c>
      <c r="B536" s="597"/>
      <c r="C536" s="598" t="s">
        <v>156</v>
      </c>
    </row>
    <row r="537" spans="1:3">
      <c r="A537" s="594">
        <v>532</v>
      </c>
      <c r="B537" s="597"/>
      <c r="C537" s="598" t="s">
        <v>156</v>
      </c>
    </row>
    <row r="538" spans="1:3">
      <c r="A538" s="594">
        <v>533</v>
      </c>
      <c r="B538" s="597"/>
      <c r="C538" s="598" t="s">
        <v>156</v>
      </c>
    </row>
    <row r="539" spans="1:3">
      <c r="A539" s="594">
        <v>534</v>
      </c>
      <c r="B539" s="597"/>
      <c r="C539" s="598" t="s">
        <v>156</v>
      </c>
    </row>
    <row r="540" spans="1:3">
      <c r="A540" s="594">
        <v>535</v>
      </c>
      <c r="B540" s="597"/>
      <c r="C540" s="598" t="s">
        <v>156</v>
      </c>
    </row>
    <row r="541" spans="1:3">
      <c r="A541" s="594">
        <v>536</v>
      </c>
      <c r="B541" s="597"/>
      <c r="C541" s="598" t="s">
        <v>156</v>
      </c>
    </row>
    <row r="542" spans="1:3">
      <c r="A542" s="594">
        <v>537</v>
      </c>
      <c r="B542" s="597"/>
      <c r="C542" s="598" t="s">
        <v>156</v>
      </c>
    </row>
    <row r="543" spans="1:3">
      <c r="A543" s="594">
        <v>538</v>
      </c>
      <c r="B543" s="597"/>
      <c r="C543" s="598" t="s">
        <v>156</v>
      </c>
    </row>
    <row r="544" spans="1:3">
      <c r="A544" s="594">
        <v>539</v>
      </c>
      <c r="B544" s="597"/>
      <c r="C544" s="598" t="s">
        <v>156</v>
      </c>
    </row>
    <row r="545" spans="1:3">
      <c r="A545" s="594">
        <v>540</v>
      </c>
      <c r="B545" s="597"/>
      <c r="C545" s="598" t="s">
        <v>156</v>
      </c>
    </row>
    <row r="546" spans="1:3">
      <c r="A546" s="594">
        <v>541</v>
      </c>
      <c r="B546" s="597"/>
      <c r="C546" s="598" t="s">
        <v>156</v>
      </c>
    </row>
    <row r="547" spans="1:3">
      <c r="A547" s="594">
        <v>542</v>
      </c>
      <c r="B547" s="597"/>
      <c r="C547" s="598" t="s">
        <v>156</v>
      </c>
    </row>
    <row r="548" spans="1:3">
      <c r="A548" s="594">
        <v>543</v>
      </c>
      <c r="B548" s="597"/>
      <c r="C548" s="598" t="s">
        <v>156</v>
      </c>
    </row>
    <row r="549" spans="1:3">
      <c r="A549" s="594">
        <v>544</v>
      </c>
      <c r="B549" s="597"/>
      <c r="C549" s="598" t="s">
        <v>156</v>
      </c>
    </row>
    <row r="550" spans="1:3">
      <c r="A550" s="594">
        <v>545</v>
      </c>
      <c r="B550" s="597"/>
      <c r="C550" s="598" t="s">
        <v>156</v>
      </c>
    </row>
    <row r="551" spans="1:3">
      <c r="A551" s="594">
        <v>546</v>
      </c>
      <c r="B551" s="597"/>
      <c r="C551" s="598" t="s">
        <v>156</v>
      </c>
    </row>
    <row r="552" spans="1:3">
      <c r="A552" s="594">
        <v>547</v>
      </c>
      <c r="B552" s="597"/>
      <c r="C552" s="598" t="s">
        <v>156</v>
      </c>
    </row>
    <row r="553" spans="1:3">
      <c r="A553" s="594">
        <v>548</v>
      </c>
      <c r="B553" s="597"/>
      <c r="C553" s="598" t="s">
        <v>156</v>
      </c>
    </row>
    <row r="554" spans="1:3">
      <c r="A554" s="594">
        <v>549</v>
      </c>
      <c r="B554" s="597"/>
      <c r="C554" s="598" t="s">
        <v>156</v>
      </c>
    </row>
    <row r="555" spans="1:3">
      <c r="A555" s="594">
        <v>550</v>
      </c>
      <c r="B555" s="597"/>
      <c r="C555" s="598" t="s">
        <v>156</v>
      </c>
    </row>
    <row r="556" spans="1:3">
      <c r="A556" s="594">
        <v>551</v>
      </c>
      <c r="B556" s="597"/>
      <c r="C556" s="598" t="s">
        <v>156</v>
      </c>
    </row>
    <row r="557" spans="1:3">
      <c r="A557" s="594">
        <v>552</v>
      </c>
      <c r="B557" s="597"/>
      <c r="C557" s="598" t="s">
        <v>156</v>
      </c>
    </row>
    <row r="558" spans="1:3">
      <c r="A558" s="594">
        <v>553</v>
      </c>
      <c r="B558" s="597"/>
      <c r="C558" s="598" t="s">
        <v>156</v>
      </c>
    </row>
    <row r="559" spans="1:3">
      <c r="A559" s="594">
        <v>554</v>
      </c>
      <c r="B559" s="597"/>
      <c r="C559" s="598" t="s">
        <v>156</v>
      </c>
    </row>
    <row r="560" spans="1:3">
      <c r="A560" s="594">
        <v>555</v>
      </c>
      <c r="B560" s="597"/>
      <c r="C560" s="598" t="s">
        <v>156</v>
      </c>
    </row>
    <row r="561" spans="1:3">
      <c r="A561" s="594">
        <v>556</v>
      </c>
      <c r="B561" s="597"/>
      <c r="C561" s="598" t="s">
        <v>156</v>
      </c>
    </row>
    <row r="562" spans="1:3">
      <c r="A562" s="594">
        <v>557</v>
      </c>
      <c r="B562" s="597"/>
      <c r="C562" s="598" t="s">
        <v>156</v>
      </c>
    </row>
    <row r="563" spans="1:3">
      <c r="A563" s="594">
        <v>558</v>
      </c>
      <c r="B563" s="597"/>
      <c r="C563" s="598" t="s">
        <v>156</v>
      </c>
    </row>
    <row r="564" spans="1:3">
      <c r="A564" s="594">
        <v>559</v>
      </c>
      <c r="B564" s="597"/>
      <c r="C564" s="598" t="s">
        <v>156</v>
      </c>
    </row>
    <row r="565" spans="1:3">
      <c r="A565" s="594">
        <v>560</v>
      </c>
      <c r="B565" s="597"/>
      <c r="C565" s="598" t="s">
        <v>156</v>
      </c>
    </row>
    <row r="566" spans="1:3">
      <c r="A566" s="594">
        <v>561</v>
      </c>
      <c r="B566" s="597"/>
      <c r="C566" s="598" t="s">
        <v>156</v>
      </c>
    </row>
    <row r="567" spans="1:3">
      <c r="A567" s="594">
        <v>562</v>
      </c>
      <c r="B567" s="597"/>
      <c r="C567" s="598" t="s">
        <v>156</v>
      </c>
    </row>
    <row r="568" spans="1:3">
      <c r="A568" s="594">
        <v>563</v>
      </c>
      <c r="B568" s="597"/>
      <c r="C568" s="598" t="s">
        <v>156</v>
      </c>
    </row>
    <row r="569" spans="1:3">
      <c r="A569" s="594">
        <v>564</v>
      </c>
      <c r="B569" s="597"/>
      <c r="C569" s="598" t="s">
        <v>156</v>
      </c>
    </row>
    <row r="570" spans="1:3">
      <c r="A570" s="594">
        <v>565</v>
      </c>
      <c r="B570" s="597"/>
      <c r="C570" s="598" t="s">
        <v>156</v>
      </c>
    </row>
    <row r="571" spans="1:3">
      <c r="A571" s="594">
        <v>566</v>
      </c>
      <c r="B571" s="597"/>
      <c r="C571" s="598" t="s">
        <v>156</v>
      </c>
    </row>
    <row r="572" spans="1:3">
      <c r="A572" s="594">
        <v>567</v>
      </c>
      <c r="B572" s="597"/>
      <c r="C572" s="598" t="s">
        <v>156</v>
      </c>
    </row>
    <row r="573" spans="1:3">
      <c r="A573" s="594">
        <v>568</v>
      </c>
      <c r="B573" s="597"/>
      <c r="C573" s="598" t="s">
        <v>156</v>
      </c>
    </row>
    <row r="574" spans="1:3">
      <c r="A574" s="594">
        <v>569</v>
      </c>
      <c r="B574" s="597"/>
      <c r="C574" s="598" t="s">
        <v>156</v>
      </c>
    </row>
    <row r="575" spans="1:3">
      <c r="A575" s="594">
        <v>570</v>
      </c>
      <c r="B575" s="597"/>
      <c r="C575" s="598" t="s">
        <v>156</v>
      </c>
    </row>
    <row r="576" spans="1:3">
      <c r="A576" s="594">
        <v>571</v>
      </c>
      <c r="B576" s="597"/>
      <c r="C576" s="598" t="s">
        <v>156</v>
      </c>
    </row>
    <row r="577" spans="1:3">
      <c r="A577" s="594">
        <v>572</v>
      </c>
      <c r="B577" s="597"/>
      <c r="C577" s="598" t="s">
        <v>156</v>
      </c>
    </row>
    <row r="578" spans="1:3">
      <c r="A578" s="594">
        <v>573</v>
      </c>
      <c r="B578" s="597"/>
      <c r="C578" s="598" t="s">
        <v>156</v>
      </c>
    </row>
    <row r="579" spans="1:3">
      <c r="A579" s="594">
        <v>574</v>
      </c>
      <c r="B579" s="597"/>
      <c r="C579" s="598" t="s">
        <v>156</v>
      </c>
    </row>
    <row r="580" spans="1:3">
      <c r="A580" s="594">
        <v>575</v>
      </c>
      <c r="B580" s="597"/>
      <c r="C580" s="598" t="s">
        <v>156</v>
      </c>
    </row>
    <row r="581" spans="1:3">
      <c r="A581" s="594">
        <v>576</v>
      </c>
      <c r="B581" s="597"/>
      <c r="C581" s="598" t="s">
        <v>156</v>
      </c>
    </row>
    <row r="582" spans="1:3">
      <c r="A582" s="594">
        <v>577</v>
      </c>
      <c r="B582" s="597"/>
      <c r="C582" s="598" t="s">
        <v>156</v>
      </c>
    </row>
    <row r="583" spans="1:3">
      <c r="A583" s="594">
        <v>578</v>
      </c>
      <c r="B583" s="597"/>
      <c r="C583" s="598" t="s">
        <v>156</v>
      </c>
    </row>
    <row r="584" spans="1:3">
      <c r="A584" s="594">
        <v>579</v>
      </c>
      <c r="B584" s="597"/>
      <c r="C584" s="598" t="s">
        <v>156</v>
      </c>
    </row>
    <row r="585" spans="1:3">
      <c r="A585" s="594">
        <v>580</v>
      </c>
      <c r="B585" s="597"/>
      <c r="C585" s="598" t="s">
        <v>156</v>
      </c>
    </row>
    <row r="586" spans="1:3">
      <c r="A586" s="594">
        <v>581</v>
      </c>
      <c r="B586" s="597"/>
      <c r="C586" s="598" t="s">
        <v>156</v>
      </c>
    </row>
    <row r="587" spans="1:3">
      <c r="A587" s="594">
        <v>582</v>
      </c>
      <c r="B587" s="597"/>
      <c r="C587" s="598" t="s">
        <v>156</v>
      </c>
    </row>
    <row r="588" spans="1:3">
      <c r="A588" s="594">
        <v>583</v>
      </c>
      <c r="B588" s="597"/>
      <c r="C588" s="598" t="s">
        <v>156</v>
      </c>
    </row>
    <row r="589" spans="1:3">
      <c r="A589" s="594">
        <v>584</v>
      </c>
      <c r="B589" s="597"/>
      <c r="C589" s="598" t="s">
        <v>156</v>
      </c>
    </row>
    <row r="590" spans="1:3">
      <c r="A590" s="594">
        <v>585</v>
      </c>
      <c r="B590" s="597"/>
      <c r="C590" s="598" t="s">
        <v>156</v>
      </c>
    </row>
    <row r="591" spans="1:3">
      <c r="A591" s="594">
        <v>586</v>
      </c>
      <c r="B591" s="597"/>
      <c r="C591" s="598" t="s">
        <v>156</v>
      </c>
    </row>
    <row r="592" spans="1:3">
      <c r="A592" s="594">
        <v>587</v>
      </c>
      <c r="B592" s="597"/>
      <c r="C592" s="598" t="s">
        <v>156</v>
      </c>
    </row>
    <row r="593" spans="1:3">
      <c r="A593" s="594">
        <v>588</v>
      </c>
      <c r="B593" s="597"/>
      <c r="C593" s="598" t="s">
        <v>156</v>
      </c>
    </row>
    <row r="594" spans="1:3">
      <c r="A594" s="594">
        <v>589</v>
      </c>
      <c r="B594" s="597"/>
      <c r="C594" s="598" t="s">
        <v>156</v>
      </c>
    </row>
    <row r="595" spans="1:3">
      <c r="A595" s="594">
        <v>590</v>
      </c>
      <c r="B595" s="597"/>
      <c r="C595" s="598" t="s">
        <v>156</v>
      </c>
    </row>
    <row r="596" spans="1:3">
      <c r="A596" s="594">
        <v>591</v>
      </c>
      <c r="B596" s="597"/>
      <c r="C596" s="598" t="s">
        <v>156</v>
      </c>
    </row>
    <row r="597" spans="1:3">
      <c r="A597" s="594">
        <v>592</v>
      </c>
      <c r="B597" s="597"/>
      <c r="C597" s="598" t="s">
        <v>156</v>
      </c>
    </row>
    <row r="598" spans="1:3">
      <c r="A598" s="594">
        <v>593</v>
      </c>
      <c r="B598" s="597"/>
      <c r="C598" s="598" t="s">
        <v>156</v>
      </c>
    </row>
    <row r="599" spans="1:3">
      <c r="A599" s="594">
        <v>594</v>
      </c>
      <c r="B599" s="597"/>
      <c r="C599" s="598" t="s">
        <v>156</v>
      </c>
    </row>
    <row r="600" spans="1:3">
      <c r="A600" s="594">
        <v>595</v>
      </c>
      <c r="B600" s="597"/>
      <c r="C600" s="598" t="s">
        <v>156</v>
      </c>
    </row>
    <row r="601" spans="1:3">
      <c r="A601" s="594">
        <v>596</v>
      </c>
      <c r="B601" s="597"/>
      <c r="C601" s="598" t="s">
        <v>156</v>
      </c>
    </row>
    <row r="602" spans="1:3">
      <c r="A602" s="594">
        <v>597</v>
      </c>
      <c r="B602" s="597"/>
      <c r="C602" s="598" t="s">
        <v>156</v>
      </c>
    </row>
    <row r="603" spans="1:3">
      <c r="A603" s="594">
        <v>598</v>
      </c>
      <c r="B603" s="597"/>
      <c r="C603" s="598" t="s">
        <v>156</v>
      </c>
    </row>
    <row r="604" spans="1:3">
      <c r="A604" s="594">
        <v>599</v>
      </c>
      <c r="B604" s="597"/>
      <c r="C604" s="598" t="s">
        <v>156</v>
      </c>
    </row>
    <row r="605" spans="1:3">
      <c r="A605" s="594">
        <v>600</v>
      </c>
      <c r="B605" s="597"/>
      <c r="C605" s="598" t="s">
        <v>156</v>
      </c>
    </row>
    <row r="606" spans="1:3">
      <c r="A606" s="594">
        <v>601</v>
      </c>
      <c r="B606" s="597"/>
      <c r="C606" s="598" t="s">
        <v>156</v>
      </c>
    </row>
    <row r="607" spans="1:3">
      <c r="A607" s="594">
        <v>602</v>
      </c>
      <c r="B607" s="597"/>
      <c r="C607" s="598" t="s">
        <v>156</v>
      </c>
    </row>
    <row r="608" spans="1:3">
      <c r="A608" s="594">
        <v>603</v>
      </c>
      <c r="B608" s="597"/>
      <c r="C608" s="598" t="s">
        <v>156</v>
      </c>
    </row>
    <row r="609" spans="1:3">
      <c r="A609" s="594">
        <v>604</v>
      </c>
      <c r="B609" s="597"/>
      <c r="C609" s="598" t="s">
        <v>156</v>
      </c>
    </row>
    <row r="610" spans="1:3">
      <c r="A610" s="594">
        <v>605</v>
      </c>
      <c r="B610" s="597"/>
      <c r="C610" s="598" t="s">
        <v>156</v>
      </c>
    </row>
    <row r="611" spans="1:3">
      <c r="A611" s="594">
        <v>606</v>
      </c>
      <c r="B611" s="597"/>
      <c r="C611" s="598" t="s">
        <v>156</v>
      </c>
    </row>
    <row r="612" spans="1:3">
      <c r="A612" s="594">
        <v>607</v>
      </c>
      <c r="B612" s="597"/>
      <c r="C612" s="598" t="s">
        <v>156</v>
      </c>
    </row>
    <row r="613" spans="1:3">
      <c r="A613" s="594">
        <v>608</v>
      </c>
      <c r="B613" s="597"/>
      <c r="C613" s="598" t="s">
        <v>156</v>
      </c>
    </row>
    <row r="614" spans="1:3">
      <c r="A614" s="594">
        <v>609</v>
      </c>
      <c r="B614" s="597"/>
      <c r="C614" s="598" t="s">
        <v>156</v>
      </c>
    </row>
    <row r="615" spans="1:3">
      <c r="A615" s="594">
        <v>610</v>
      </c>
      <c r="B615" s="597"/>
      <c r="C615" s="598" t="s">
        <v>156</v>
      </c>
    </row>
    <row r="616" spans="1:3">
      <c r="A616" s="594">
        <v>611</v>
      </c>
      <c r="B616" s="597"/>
      <c r="C616" s="598" t="s">
        <v>156</v>
      </c>
    </row>
    <row r="617" spans="1:3">
      <c r="A617" s="594">
        <v>612</v>
      </c>
      <c r="B617" s="597"/>
      <c r="C617" s="598" t="s">
        <v>156</v>
      </c>
    </row>
    <row r="618" spans="1:3">
      <c r="A618" s="594">
        <v>613</v>
      </c>
      <c r="B618" s="597"/>
      <c r="C618" s="598" t="s">
        <v>156</v>
      </c>
    </row>
    <row r="619" spans="1:3">
      <c r="A619" s="594">
        <v>614</v>
      </c>
      <c r="B619" s="597"/>
      <c r="C619" s="598" t="s">
        <v>156</v>
      </c>
    </row>
    <row r="620" spans="1:3">
      <c r="A620" s="594">
        <v>615</v>
      </c>
      <c r="B620" s="597"/>
      <c r="C620" s="598" t="s">
        <v>156</v>
      </c>
    </row>
    <row r="621" spans="1:3">
      <c r="A621" s="594">
        <v>616</v>
      </c>
      <c r="B621" s="597"/>
      <c r="C621" s="598" t="s">
        <v>156</v>
      </c>
    </row>
    <row r="622" spans="1:3">
      <c r="A622" s="594">
        <v>617</v>
      </c>
      <c r="B622" s="597"/>
      <c r="C622" s="598" t="s">
        <v>156</v>
      </c>
    </row>
    <row r="623" spans="1:3">
      <c r="A623" s="594">
        <v>618</v>
      </c>
      <c r="B623" s="597"/>
      <c r="C623" s="598" t="s">
        <v>156</v>
      </c>
    </row>
    <row r="624" spans="1:3">
      <c r="A624" s="594">
        <v>619</v>
      </c>
      <c r="B624" s="597"/>
      <c r="C624" s="598" t="s">
        <v>156</v>
      </c>
    </row>
    <row r="625" spans="1:3">
      <c r="A625" s="594">
        <v>620</v>
      </c>
      <c r="B625" s="597"/>
      <c r="C625" s="598" t="s">
        <v>156</v>
      </c>
    </row>
    <row r="626" spans="1:3">
      <c r="A626" s="594">
        <v>621</v>
      </c>
      <c r="B626" s="597"/>
      <c r="C626" s="598" t="s">
        <v>156</v>
      </c>
    </row>
    <row r="627" spans="1:3">
      <c r="A627" s="594">
        <v>622</v>
      </c>
      <c r="B627" s="597"/>
      <c r="C627" s="598" t="s">
        <v>156</v>
      </c>
    </row>
    <row r="628" spans="1:3">
      <c r="A628" s="594">
        <v>623</v>
      </c>
      <c r="B628" s="597"/>
      <c r="C628" s="598" t="s">
        <v>156</v>
      </c>
    </row>
    <row r="629" spans="1:3">
      <c r="A629" s="594">
        <v>624</v>
      </c>
      <c r="B629" s="597"/>
      <c r="C629" s="598" t="s">
        <v>156</v>
      </c>
    </row>
    <row r="630" spans="1:3">
      <c r="A630" s="594">
        <v>625</v>
      </c>
      <c r="B630" s="597"/>
      <c r="C630" s="598" t="s">
        <v>156</v>
      </c>
    </row>
    <row r="631" spans="1:3">
      <c r="A631" s="594">
        <v>626</v>
      </c>
      <c r="B631" s="597"/>
      <c r="C631" s="598" t="s">
        <v>156</v>
      </c>
    </row>
    <row r="632" spans="1:3">
      <c r="A632" s="594">
        <v>627</v>
      </c>
      <c r="B632" s="597"/>
      <c r="C632" s="598" t="s">
        <v>156</v>
      </c>
    </row>
    <row r="633" spans="1:3">
      <c r="A633" s="594">
        <v>628</v>
      </c>
      <c r="B633" s="597"/>
      <c r="C633" s="598" t="s">
        <v>156</v>
      </c>
    </row>
    <row r="634" spans="1:3">
      <c r="A634" s="594">
        <v>629</v>
      </c>
      <c r="B634" s="597"/>
      <c r="C634" s="598" t="s">
        <v>156</v>
      </c>
    </row>
    <row r="635" spans="1:3">
      <c r="A635" s="594">
        <v>630</v>
      </c>
      <c r="B635" s="597"/>
      <c r="C635" s="598" t="s">
        <v>156</v>
      </c>
    </row>
    <row r="636" spans="1:3">
      <c r="A636" s="594">
        <v>631</v>
      </c>
      <c r="B636" s="597"/>
      <c r="C636" s="598" t="s">
        <v>156</v>
      </c>
    </row>
    <row r="637" spans="1:3">
      <c r="A637" s="594">
        <v>632</v>
      </c>
      <c r="B637" s="597"/>
      <c r="C637" s="598" t="s">
        <v>156</v>
      </c>
    </row>
    <row r="638" spans="1:3">
      <c r="A638" s="594">
        <v>633</v>
      </c>
      <c r="B638" s="597"/>
      <c r="C638" s="598" t="s">
        <v>156</v>
      </c>
    </row>
    <row r="639" spans="1:3">
      <c r="A639" s="594">
        <v>634</v>
      </c>
      <c r="B639" s="597"/>
      <c r="C639" s="598" t="s">
        <v>156</v>
      </c>
    </row>
    <row r="640" spans="1:3">
      <c r="A640" s="594">
        <v>635</v>
      </c>
      <c r="B640" s="597"/>
      <c r="C640" s="598" t="s">
        <v>156</v>
      </c>
    </row>
    <row r="641" spans="1:3">
      <c r="A641" s="594">
        <v>636</v>
      </c>
      <c r="B641" s="597"/>
      <c r="C641" s="598" t="s">
        <v>156</v>
      </c>
    </row>
    <row r="642" spans="1:3">
      <c r="A642" s="594">
        <v>637</v>
      </c>
      <c r="B642" s="597"/>
      <c r="C642" s="598" t="s">
        <v>156</v>
      </c>
    </row>
    <row r="643" spans="1:3">
      <c r="A643" s="594">
        <v>638</v>
      </c>
      <c r="B643" s="597"/>
      <c r="C643" s="598" t="s">
        <v>156</v>
      </c>
    </row>
    <row r="644" spans="1:3">
      <c r="A644" s="594">
        <v>639</v>
      </c>
      <c r="B644" s="597"/>
      <c r="C644" s="598" t="s">
        <v>156</v>
      </c>
    </row>
    <row r="645" spans="1:3">
      <c r="A645" s="594">
        <v>640</v>
      </c>
      <c r="B645" s="597"/>
      <c r="C645" s="598" t="s">
        <v>156</v>
      </c>
    </row>
    <row r="646" spans="1:3">
      <c r="A646" s="594">
        <v>641</v>
      </c>
      <c r="B646" s="597"/>
      <c r="C646" s="598" t="s">
        <v>156</v>
      </c>
    </row>
    <row r="647" spans="1:3">
      <c r="A647" s="594">
        <v>642</v>
      </c>
      <c r="B647" s="597"/>
      <c r="C647" s="598" t="s">
        <v>156</v>
      </c>
    </row>
    <row r="648" spans="1:3">
      <c r="A648" s="594">
        <v>643</v>
      </c>
      <c r="B648" s="597"/>
      <c r="C648" s="598" t="s">
        <v>156</v>
      </c>
    </row>
    <row r="649" spans="1:3">
      <c r="A649" s="594">
        <v>644</v>
      </c>
      <c r="B649" s="597"/>
      <c r="C649" s="598" t="s">
        <v>156</v>
      </c>
    </row>
    <row r="650" spans="1:3">
      <c r="A650" s="594">
        <v>645</v>
      </c>
      <c r="B650" s="597"/>
      <c r="C650" s="598" t="s">
        <v>156</v>
      </c>
    </row>
    <row r="651" spans="1:3">
      <c r="A651" s="594">
        <v>646</v>
      </c>
      <c r="B651" s="597"/>
      <c r="C651" s="598" t="s">
        <v>156</v>
      </c>
    </row>
    <row r="652" spans="1:3">
      <c r="A652" s="594">
        <v>647</v>
      </c>
      <c r="B652" s="597"/>
      <c r="C652" s="598" t="s">
        <v>156</v>
      </c>
    </row>
    <row r="653" spans="1:3">
      <c r="A653" s="594">
        <v>648</v>
      </c>
      <c r="B653" s="597"/>
      <c r="C653" s="598" t="s">
        <v>156</v>
      </c>
    </row>
    <row r="654" spans="1:3">
      <c r="A654" s="594">
        <v>649</v>
      </c>
      <c r="B654" s="597"/>
      <c r="C654" s="598" t="s">
        <v>156</v>
      </c>
    </row>
    <row r="655" spans="1:3">
      <c r="A655" s="594">
        <v>650</v>
      </c>
      <c r="B655" s="597"/>
      <c r="C655" s="598" t="s">
        <v>156</v>
      </c>
    </row>
    <row r="656" spans="1:3">
      <c r="A656" s="594">
        <v>651</v>
      </c>
      <c r="B656" s="597"/>
      <c r="C656" s="598" t="s">
        <v>156</v>
      </c>
    </row>
    <row r="657" spans="1:3">
      <c r="A657" s="594">
        <v>652</v>
      </c>
      <c r="B657" s="597"/>
      <c r="C657" s="598" t="s">
        <v>156</v>
      </c>
    </row>
    <row r="658" spans="1:3">
      <c r="A658" s="594">
        <v>653</v>
      </c>
      <c r="B658" s="597"/>
      <c r="C658" s="598" t="s">
        <v>156</v>
      </c>
    </row>
    <row r="659" spans="1:3">
      <c r="A659" s="594">
        <v>654</v>
      </c>
      <c r="B659" s="597"/>
      <c r="C659" s="598" t="s">
        <v>156</v>
      </c>
    </row>
    <row r="660" spans="1:3">
      <c r="A660" s="594">
        <v>655</v>
      </c>
      <c r="B660" s="597"/>
      <c r="C660" s="598" t="s">
        <v>156</v>
      </c>
    </row>
    <row r="661" spans="1:3">
      <c r="A661" s="594">
        <v>656</v>
      </c>
      <c r="B661" s="597"/>
      <c r="C661" s="598" t="s">
        <v>156</v>
      </c>
    </row>
    <row r="662" spans="1:3">
      <c r="A662" s="594">
        <v>657</v>
      </c>
      <c r="B662" s="597"/>
      <c r="C662" s="598" t="s">
        <v>156</v>
      </c>
    </row>
    <row r="663" spans="1:3">
      <c r="A663" s="594">
        <v>658</v>
      </c>
      <c r="B663" s="597"/>
      <c r="C663" s="598" t="s">
        <v>156</v>
      </c>
    </row>
    <row r="664" spans="1:3">
      <c r="A664" s="594">
        <v>659</v>
      </c>
      <c r="B664" s="597"/>
      <c r="C664" s="598" t="s">
        <v>156</v>
      </c>
    </row>
    <row r="665" spans="1:3">
      <c r="A665" s="594">
        <v>660</v>
      </c>
      <c r="B665" s="597"/>
      <c r="C665" s="598" t="s">
        <v>156</v>
      </c>
    </row>
    <row r="666" spans="1:3">
      <c r="A666" s="594">
        <v>661</v>
      </c>
      <c r="B666" s="597"/>
      <c r="C666" s="598" t="s">
        <v>156</v>
      </c>
    </row>
    <row r="667" spans="1:3">
      <c r="A667" s="594">
        <v>662</v>
      </c>
      <c r="B667" s="597"/>
      <c r="C667" s="598" t="s">
        <v>156</v>
      </c>
    </row>
    <row r="668" spans="1:3">
      <c r="A668" s="594">
        <v>663</v>
      </c>
      <c r="B668" s="597"/>
      <c r="C668" s="598" t="s">
        <v>156</v>
      </c>
    </row>
    <row r="669" spans="1:3">
      <c r="A669" s="594">
        <v>664</v>
      </c>
      <c r="B669" s="597"/>
      <c r="C669" s="598" t="s">
        <v>156</v>
      </c>
    </row>
    <row r="670" spans="1:3">
      <c r="A670" s="594">
        <v>665</v>
      </c>
      <c r="B670" s="597"/>
      <c r="C670" s="598" t="s">
        <v>156</v>
      </c>
    </row>
    <row r="671" spans="1:3">
      <c r="A671" s="594">
        <v>666</v>
      </c>
      <c r="B671" s="597"/>
      <c r="C671" s="598" t="s">
        <v>156</v>
      </c>
    </row>
    <row r="672" spans="1:3">
      <c r="A672" s="594">
        <v>667</v>
      </c>
      <c r="B672" s="597"/>
      <c r="C672" s="598" t="s">
        <v>156</v>
      </c>
    </row>
    <row r="673" spans="1:3">
      <c r="A673" s="594">
        <v>668</v>
      </c>
      <c r="B673" s="597"/>
      <c r="C673" s="598" t="s">
        <v>156</v>
      </c>
    </row>
    <row r="674" spans="1:3">
      <c r="A674" s="594">
        <v>669</v>
      </c>
      <c r="B674" s="597"/>
      <c r="C674" s="598" t="s">
        <v>156</v>
      </c>
    </row>
    <row r="675" spans="1:3">
      <c r="A675" s="594">
        <v>670</v>
      </c>
      <c r="B675" s="597"/>
      <c r="C675" s="598" t="s">
        <v>156</v>
      </c>
    </row>
    <row r="676" spans="1:3">
      <c r="A676" s="594">
        <v>671</v>
      </c>
      <c r="B676" s="597"/>
      <c r="C676" s="598" t="s">
        <v>156</v>
      </c>
    </row>
    <row r="677" spans="1:3">
      <c r="A677" s="594">
        <v>672</v>
      </c>
      <c r="B677" s="597"/>
      <c r="C677" s="598" t="s">
        <v>156</v>
      </c>
    </row>
    <row r="678" spans="1:3">
      <c r="A678" s="594">
        <v>673</v>
      </c>
      <c r="B678" s="597"/>
      <c r="C678" s="598" t="s">
        <v>156</v>
      </c>
    </row>
    <row r="679" spans="1:3">
      <c r="A679" s="594">
        <v>674</v>
      </c>
      <c r="B679" s="597"/>
      <c r="C679" s="598" t="s">
        <v>156</v>
      </c>
    </row>
    <row r="680" spans="1:3">
      <c r="A680" s="594">
        <v>675</v>
      </c>
      <c r="B680" s="597"/>
      <c r="C680" s="598" t="s">
        <v>156</v>
      </c>
    </row>
    <row r="681" spans="1:3">
      <c r="A681" s="594">
        <v>676</v>
      </c>
      <c r="B681" s="597"/>
      <c r="C681" s="598" t="s">
        <v>156</v>
      </c>
    </row>
    <row r="682" spans="1:3">
      <c r="A682" s="594">
        <v>677</v>
      </c>
      <c r="B682" s="597"/>
      <c r="C682" s="598" t="s">
        <v>156</v>
      </c>
    </row>
    <row r="683" spans="1:3">
      <c r="A683" s="594">
        <v>678</v>
      </c>
      <c r="B683" s="597"/>
      <c r="C683" s="598" t="s">
        <v>156</v>
      </c>
    </row>
    <row r="684" spans="1:3">
      <c r="A684" s="594">
        <v>679</v>
      </c>
      <c r="B684" s="597"/>
      <c r="C684" s="598" t="s">
        <v>156</v>
      </c>
    </row>
    <row r="685" spans="1:3">
      <c r="A685" s="594">
        <v>680</v>
      </c>
      <c r="B685" s="597"/>
      <c r="C685" s="598" t="s">
        <v>156</v>
      </c>
    </row>
    <row r="686" spans="1:3">
      <c r="A686" s="594">
        <v>681</v>
      </c>
      <c r="B686" s="597"/>
      <c r="C686" s="598" t="s">
        <v>156</v>
      </c>
    </row>
    <row r="687" spans="1:3">
      <c r="A687" s="594">
        <v>682</v>
      </c>
      <c r="B687" s="597"/>
      <c r="C687" s="598" t="s">
        <v>156</v>
      </c>
    </row>
    <row r="688" spans="1:3">
      <c r="A688" s="594">
        <v>683</v>
      </c>
      <c r="B688" s="597"/>
      <c r="C688" s="598" t="s">
        <v>156</v>
      </c>
    </row>
    <row r="689" spans="1:3">
      <c r="A689" s="594">
        <v>684</v>
      </c>
      <c r="B689" s="597"/>
      <c r="C689" s="598" t="s">
        <v>156</v>
      </c>
    </row>
    <row r="690" spans="1:3">
      <c r="A690" s="594">
        <v>685</v>
      </c>
      <c r="B690" s="597"/>
      <c r="C690" s="598" t="s">
        <v>156</v>
      </c>
    </row>
    <row r="691" spans="1:3">
      <c r="A691" s="594">
        <v>686</v>
      </c>
      <c r="B691" s="597"/>
      <c r="C691" s="598" t="s">
        <v>156</v>
      </c>
    </row>
    <row r="692" spans="1:3">
      <c r="A692" s="594">
        <v>687</v>
      </c>
      <c r="B692" s="597"/>
      <c r="C692" s="598" t="s">
        <v>156</v>
      </c>
    </row>
    <row r="693" spans="1:3">
      <c r="A693" s="594">
        <v>688</v>
      </c>
      <c r="B693" s="597"/>
      <c r="C693" s="598" t="s">
        <v>156</v>
      </c>
    </row>
    <row r="694" spans="1:3">
      <c r="A694" s="594">
        <v>689</v>
      </c>
      <c r="B694" s="597"/>
      <c r="C694" s="598" t="s">
        <v>156</v>
      </c>
    </row>
    <row r="695" spans="1:3">
      <c r="A695" s="594">
        <v>690</v>
      </c>
      <c r="B695" s="597"/>
      <c r="C695" s="598" t="s">
        <v>156</v>
      </c>
    </row>
    <row r="696" spans="1:3">
      <c r="A696" s="594">
        <v>691</v>
      </c>
      <c r="B696" s="597"/>
      <c r="C696" s="598" t="s">
        <v>156</v>
      </c>
    </row>
    <row r="697" spans="1:3">
      <c r="A697" s="594">
        <v>692</v>
      </c>
      <c r="B697" s="597"/>
      <c r="C697" s="598" t="s">
        <v>156</v>
      </c>
    </row>
    <row r="698" spans="1:3">
      <c r="A698" s="594">
        <v>693</v>
      </c>
      <c r="B698" s="597"/>
      <c r="C698" s="598" t="s">
        <v>156</v>
      </c>
    </row>
    <row r="699" spans="1:3">
      <c r="A699" s="594">
        <v>694</v>
      </c>
      <c r="B699" s="597"/>
      <c r="C699" s="598" t="s">
        <v>156</v>
      </c>
    </row>
    <row r="700" spans="1:3">
      <c r="A700" s="594">
        <v>695</v>
      </c>
      <c r="B700" s="597"/>
      <c r="C700" s="598" t="s">
        <v>156</v>
      </c>
    </row>
    <row r="701" spans="1:3">
      <c r="A701" s="594">
        <v>696</v>
      </c>
      <c r="B701" s="597"/>
      <c r="C701" s="598" t="s">
        <v>156</v>
      </c>
    </row>
    <row r="702" spans="1:3">
      <c r="A702" s="594">
        <v>697</v>
      </c>
      <c r="B702" s="597"/>
      <c r="C702" s="598" t="s">
        <v>156</v>
      </c>
    </row>
    <row r="703" spans="1:3">
      <c r="A703" s="594">
        <v>698</v>
      </c>
      <c r="B703" s="597"/>
      <c r="C703" s="598" t="s">
        <v>156</v>
      </c>
    </row>
    <row r="704" spans="1:3">
      <c r="A704" s="594">
        <v>699</v>
      </c>
      <c r="B704" s="597"/>
      <c r="C704" s="598" t="s">
        <v>156</v>
      </c>
    </row>
    <row r="705" spans="1:3">
      <c r="A705" s="594">
        <v>700</v>
      </c>
      <c r="B705" s="597"/>
      <c r="C705" s="598" t="s">
        <v>156</v>
      </c>
    </row>
    <row r="706" spans="1:3">
      <c r="A706" s="594">
        <v>701</v>
      </c>
      <c r="B706" s="597"/>
      <c r="C706" s="598" t="s">
        <v>156</v>
      </c>
    </row>
    <row r="707" spans="1:3">
      <c r="A707" s="594">
        <v>702</v>
      </c>
      <c r="B707" s="597"/>
      <c r="C707" s="598" t="s">
        <v>156</v>
      </c>
    </row>
    <row r="708" spans="1:3">
      <c r="A708" s="594">
        <v>703</v>
      </c>
      <c r="B708" s="597"/>
      <c r="C708" s="598" t="s">
        <v>156</v>
      </c>
    </row>
    <row r="709" spans="1:3">
      <c r="A709" s="594">
        <v>704</v>
      </c>
      <c r="B709" s="597"/>
      <c r="C709" s="598" t="s">
        <v>156</v>
      </c>
    </row>
    <row r="710" spans="1:3">
      <c r="A710" s="594">
        <v>705</v>
      </c>
      <c r="B710" s="597"/>
      <c r="C710" s="598" t="s">
        <v>156</v>
      </c>
    </row>
    <row r="711" spans="1:3">
      <c r="A711" s="594">
        <v>706</v>
      </c>
      <c r="B711" s="597"/>
      <c r="C711" s="598" t="s">
        <v>156</v>
      </c>
    </row>
    <row r="712" spans="1:3">
      <c r="A712" s="594">
        <v>707</v>
      </c>
      <c r="B712" s="597"/>
      <c r="C712" s="598" t="s">
        <v>156</v>
      </c>
    </row>
    <row r="713" spans="1:3">
      <c r="A713" s="594">
        <v>708</v>
      </c>
      <c r="B713" s="597"/>
      <c r="C713" s="598" t="s">
        <v>156</v>
      </c>
    </row>
    <row r="714" spans="1:3">
      <c r="A714" s="594">
        <v>709</v>
      </c>
      <c r="B714" s="597"/>
      <c r="C714" s="598" t="s">
        <v>156</v>
      </c>
    </row>
    <row r="715" spans="1:3">
      <c r="A715" s="594">
        <v>710</v>
      </c>
      <c r="B715" s="597"/>
      <c r="C715" s="598" t="s">
        <v>156</v>
      </c>
    </row>
    <row r="716" spans="1:3">
      <c r="A716" s="594">
        <v>711</v>
      </c>
      <c r="B716" s="597"/>
      <c r="C716" s="598" t="s">
        <v>156</v>
      </c>
    </row>
    <row r="717" spans="1:3">
      <c r="A717" s="594">
        <v>712</v>
      </c>
      <c r="B717" s="597"/>
      <c r="C717" s="598" t="s">
        <v>156</v>
      </c>
    </row>
    <row r="718" spans="1:3">
      <c r="A718" s="594">
        <v>713</v>
      </c>
      <c r="B718" s="597"/>
      <c r="C718" s="598" t="s">
        <v>156</v>
      </c>
    </row>
    <row r="719" spans="1:3">
      <c r="A719" s="594">
        <v>714</v>
      </c>
      <c r="B719" s="597"/>
      <c r="C719" s="598" t="s">
        <v>156</v>
      </c>
    </row>
    <row r="720" spans="1:3">
      <c r="A720" s="594">
        <v>715</v>
      </c>
      <c r="B720" s="597"/>
      <c r="C720" s="598" t="s">
        <v>156</v>
      </c>
    </row>
    <row r="721" spans="1:3">
      <c r="A721" s="594">
        <v>716</v>
      </c>
      <c r="B721" s="597"/>
      <c r="C721" s="598" t="s">
        <v>156</v>
      </c>
    </row>
    <row r="722" spans="1:3">
      <c r="A722" s="594">
        <v>717</v>
      </c>
      <c r="B722" s="597"/>
      <c r="C722" s="598" t="s">
        <v>156</v>
      </c>
    </row>
    <row r="723" spans="1:3">
      <c r="A723" s="594">
        <v>718</v>
      </c>
      <c r="B723" s="597"/>
      <c r="C723" s="598" t="s">
        <v>156</v>
      </c>
    </row>
    <row r="724" spans="1:3">
      <c r="A724" s="594">
        <v>719</v>
      </c>
      <c r="B724" s="597"/>
      <c r="C724" s="598" t="s">
        <v>156</v>
      </c>
    </row>
    <row r="725" spans="1:3">
      <c r="A725" s="594">
        <v>720</v>
      </c>
      <c r="B725" s="597"/>
      <c r="C725" s="598" t="s">
        <v>156</v>
      </c>
    </row>
    <row r="726" spans="1:3">
      <c r="A726" s="594">
        <v>721</v>
      </c>
      <c r="B726" s="597"/>
      <c r="C726" s="598" t="s">
        <v>156</v>
      </c>
    </row>
    <row r="727" spans="1:3">
      <c r="A727" s="594">
        <v>722</v>
      </c>
      <c r="B727" s="597"/>
      <c r="C727" s="598" t="s">
        <v>156</v>
      </c>
    </row>
    <row r="728" spans="1:3">
      <c r="A728" s="594">
        <v>723</v>
      </c>
      <c r="B728" s="597"/>
      <c r="C728" s="598" t="s">
        <v>156</v>
      </c>
    </row>
    <row r="729" spans="1:3">
      <c r="A729" s="594">
        <v>724</v>
      </c>
      <c r="B729" s="597"/>
      <c r="C729" s="598" t="s">
        <v>156</v>
      </c>
    </row>
    <row r="730" spans="1:3">
      <c r="A730" s="594">
        <v>725</v>
      </c>
      <c r="B730" s="597"/>
      <c r="C730" s="598" t="s">
        <v>156</v>
      </c>
    </row>
    <row r="731" spans="1:3">
      <c r="A731" s="594">
        <v>726</v>
      </c>
      <c r="B731" s="597"/>
      <c r="C731" s="598" t="s">
        <v>156</v>
      </c>
    </row>
    <row r="732" spans="1:3">
      <c r="A732" s="594">
        <v>727</v>
      </c>
      <c r="B732" s="597"/>
      <c r="C732" s="598" t="s">
        <v>156</v>
      </c>
    </row>
    <row r="733" spans="1:3">
      <c r="A733" s="594">
        <v>728</v>
      </c>
      <c r="B733" s="597"/>
      <c r="C733" s="598" t="s">
        <v>156</v>
      </c>
    </row>
    <row r="734" spans="1:3">
      <c r="A734" s="594">
        <v>729</v>
      </c>
      <c r="B734" s="597"/>
      <c r="C734" s="598" t="s">
        <v>156</v>
      </c>
    </row>
    <row r="735" spans="1:3">
      <c r="A735" s="594">
        <v>730</v>
      </c>
      <c r="B735" s="597"/>
      <c r="C735" s="598" t="s">
        <v>156</v>
      </c>
    </row>
    <row r="736" spans="1:3">
      <c r="A736" s="594">
        <v>731</v>
      </c>
      <c r="B736" s="597"/>
      <c r="C736" s="598" t="s">
        <v>156</v>
      </c>
    </row>
    <row r="737" spans="1:3">
      <c r="A737" s="594">
        <v>732</v>
      </c>
      <c r="B737" s="597"/>
      <c r="C737" s="598" t="s">
        <v>156</v>
      </c>
    </row>
    <row r="738" spans="1:3">
      <c r="A738" s="594">
        <v>733</v>
      </c>
      <c r="B738" s="597"/>
      <c r="C738" s="598" t="s">
        <v>156</v>
      </c>
    </row>
    <row r="739" spans="1:3">
      <c r="A739" s="594">
        <v>734</v>
      </c>
      <c r="B739" s="597"/>
      <c r="C739" s="598" t="s">
        <v>156</v>
      </c>
    </row>
    <row r="740" spans="1:3">
      <c r="A740" s="594">
        <v>735</v>
      </c>
      <c r="B740" s="597"/>
      <c r="C740" s="598" t="s">
        <v>156</v>
      </c>
    </row>
    <row r="741" spans="1:3">
      <c r="A741" s="594">
        <v>736</v>
      </c>
      <c r="B741" s="597"/>
      <c r="C741" s="598" t="s">
        <v>156</v>
      </c>
    </row>
    <row r="742" spans="1:3">
      <c r="A742" s="594">
        <v>737</v>
      </c>
      <c r="B742" s="597"/>
      <c r="C742" s="598" t="s">
        <v>156</v>
      </c>
    </row>
    <row r="743" spans="1:3">
      <c r="A743" s="594">
        <v>738</v>
      </c>
      <c r="B743" s="597"/>
      <c r="C743" s="598" t="s">
        <v>156</v>
      </c>
    </row>
    <row r="744" spans="1:3">
      <c r="A744" s="594">
        <v>739</v>
      </c>
      <c r="B744" s="597"/>
      <c r="C744" s="598" t="s">
        <v>156</v>
      </c>
    </row>
    <row r="745" spans="1:3">
      <c r="A745" s="594">
        <v>740</v>
      </c>
      <c r="B745" s="597"/>
      <c r="C745" s="598" t="s">
        <v>156</v>
      </c>
    </row>
    <row r="746" spans="1:3">
      <c r="A746" s="594">
        <v>741</v>
      </c>
      <c r="B746" s="597"/>
      <c r="C746" s="598" t="s">
        <v>156</v>
      </c>
    </row>
    <row r="747" spans="1:3">
      <c r="A747" s="594">
        <v>742</v>
      </c>
      <c r="B747" s="597"/>
      <c r="C747" s="598" t="s">
        <v>156</v>
      </c>
    </row>
    <row r="748" spans="1:3">
      <c r="A748" s="594">
        <v>743</v>
      </c>
      <c r="B748" s="597"/>
      <c r="C748" s="598" t="s">
        <v>156</v>
      </c>
    </row>
    <row r="749" spans="1:3">
      <c r="A749" s="594">
        <v>744</v>
      </c>
      <c r="B749" s="597"/>
      <c r="C749" s="598" t="s">
        <v>156</v>
      </c>
    </row>
    <row r="750" spans="1:3">
      <c r="A750" s="594">
        <v>745</v>
      </c>
      <c r="B750" s="597"/>
      <c r="C750" s="598" t="s">
        <v>156</v>
      </c>
    </row>
    <row r="751" spans="1:3">
      <c r="A751" s="594">
        <v>746</v>
      </c>
      <c r="B751" s="597"/>
      <c r="C751" s="598" t="s">
        <v>156</v>
      </c>
    </row>
    <row r="752" spans="1:3">
      <c r="A752" s="594">
        <v>747</v>
      </c>
      <c r="B752" s="597"/>
      <c r="C752" s="598" t="s">
        <v>156</v>
      </c>
    </row>
    <row r="753" spans="1:3">
      <c r="A753" s="594">
        <v>748</v>
      </c>
      <c r="B753" s="597"/>
      <c r="C753" s="598" t="s">
        <v>156</v>
      </c>
    </row>
    <row r="754" spans="1:3">
      <c r="A754" s="594">
        <v>749</v>
      </c>
      <c r="B754" s="597"/>
      <c r="C754" s="598" t="s">
        <v>156</v>
      </c>
    </row>
    <row r="755" spans="1:3">
      <c r="A755" s="594">
        <v>750</v>
      </c>
      <c r="B755" s="597"/>
      <c r="C755" s="598" t="s">
        <v>156</v>
      </c>
    </row>
    <row r="756" spans="1:3">
      <c r="A756" s="594">
        <v>751</v>
      </c>
      <c r="B756" s="597"/>
      <c r="C756" s="598" t="s">
        <v>156</v>
      </c>
    </row>
    <row r="757" spans="1:3">
      <c r="A757" s="594">
        <v>752</v>
      </c>
      <c r="B757" s="597"/>
      <c r="C757" s="598" t="s">
        <v>156</v>
      </c>
    </row>
    <row r="758" spans="1:3">
      <c r="A758" s="594">
        <v>753</v>
      </c>
      <c r="B758" s="597"/>
      <c r="C758" s="598" t="s">
        <v>156</v>
      </c>
    </row>
    <row r="759" spans="1:3">
      <c r="A759" s="594">
        <v>754</v>
      </c>
      <c r="B759" s="597"/>
      <c r="C759" s="598" t="s">
        <v>156</v>
      </c>
    </row>
    <row r="760" spans="1:3">
      <c r="A760" s="594">
        <v>755</v>
      </c>
      <c r="B760" s="597"/>
      <c r="C760" s="598" t="s">
        <v>156</v>
      </c>
    </row>
    <row r="761" spans="1:3">
      <c r="A761" s="594">
        <v>756</v>
      </c>
      <c r="B761" s="597"/>
      <c r="C761" s="598" t="s">
        <v>156</v>
      </c>
    </row>
    <row r="762" spans="1:3">
      <c r="A762" s="594">
        <v>757</v>
      </c>
      <c r="B762" s="597"/>
      <c r="C762" s="598" t="s">
        <v>156</v>
      </c>
    </row>
    <row r="763" spans="1:3">
      <c r="A763" s="594">
        <v>758</v>
      </c>
      <c r="B763" s="597"/>
      <c r="C763" s="598" t="s">
        <v>156</v>
      </c>
    </row>
    <row r="764" spans="1:3">
      <c r="A764" s="594">
        <v>759</v>
      </c>
      <c r="B764" s="597"/>
      <c r="C764" s="598" t="s">
        <v>156</v>
      </c>
    </row>
    <row r="765" spans="1:3">
      <c r="A765" s="594">
        <v>760</v>
      </c>
      <c r="B765" s="597"/>
      <c r="C765" s="598" t="s">
        <v>156</v>
      </c>
    </row>
    <row r="766" spans="1:3">
      <c r="A766" s="594">
        <v>761</v>
      </c>
      <c r="B766" s="597"/>
      <c r="C766" s="598" t="s">
        <v>156</v>
      </c>
    </row>
    <row r="767" spans="1:3">
      <c r="A767" s="594">
        <v>762</v>
      </c>
      <c r="B767" s="597"/>
      <c r="C767" s="598" t="s">
        <v>156</v>
      </c>
    </row>
    <row r="768" spans="1:3">
      <c r="A768" s="594">
        <v>763</v>
      </c>
      <c r="B768" s="597"/>
      <c r="C768" s="598" t="s">
        <v>156</v>
      </c>
    </row>
    <row r="769" spans="1:3">
      <c r="A769" s="594">
        <v>764</v>
      </c>
      <c r="B769" s="597"/>
      <c r="C769" s="598" t="s">
        <v>156</v>
      </c>
    </row>
    <row r="770" spans="1:3">
      <c r="A770" s="594">
        <v>765</v>
      </c>
      <c r="B770" s="597"/>
      <c r="C770" s="598" t="s">
        <v>156</v>
      </c>
    </row>
    <row r="771" spans="1:3">
      <c r="A771" s="594">
        <v>766</v>
      </c>
      <c r="B771" s="597"/>
      <c r="C771" s="598" t="s">
        <v>156</v>
      </c>
    </row>
    <row r="772" spans="1:3">
      <c r="A772" s="594">
        <v>767</v>
      </c>
      <c r="B772" s="597"/>
      <c r="C772" s="598" t="s">
        <v>156</v>
      </c>
    </row>
    <row r="773" spans="1:3">
      <c r="A773" s="594">
        <v>768</v>
      </c>
      <c r="B773" s="597"/>
      <c r="C773" s="598" t="s">
        <v>156</v>
      </c>
    </row>
    <row r="774" spans="1:3">
      <c r="A774" s="594">
        <v>769</v>
      </c>
      <c r="B774" s="597"/>
      <c r="C774" s="598" t="s">
        <v>156</v>
      </c>
    </row>
    <row r="775" spans="1:3">
      <c r="A775" s="594">
        <v>770</v>
      </c>
      <c r="B775" s="597"/>
      <c r="C775" s="598" t="s">
        <v>156</v>
      </c>
    </row>
    <row r="776" spans="1:3">
      <c r="A776" s="594">
        <v>771</v>
      </c>
      <c r="B776" s="597"/>
      <c r="C776" s="598" t="s">
        <v>156</v>
      </c>
    </row>
    <row r="777" spans="1:3">
      <c r="A777" s="594">
        <v>772</v>
      </c>
      <c r="B777" s="597"/>
      <c r="C777" s="598" t="s">
        <v>156</v>
      </c>
    </row>
    <row r="778" spans="1:3">
      <c r="A778" s="594">
        <v>773</v>
      </c>
      <c r="B778" s="597"/>
      <c r="C778" s="598" t="s">
        <v>156</v>
      </c>
    </row>
    <row r="779" spans="1:3">
      <c r="A779" s="594">
        <v>774</v>
      </c>
      <c r="B779" s="597"/>
      <c r="C779" s="598" t="s">
        <v>156</v>
      </c>
    </row>
    <row r="780" spans="1:3">
      <c r="A780" s="594">
        <v>775</v>
      </c>
      <c r="B780" s="597"/>
      <c r="C780" s="598" t="s">
        <v>156</v>
      </c>
    </row>
    <row r="781" spans="1:3">
      <c r="A781" s="594">
        <v>776</v>
      </c>
      <c r="B781" s="597"/>
      <c r="C781" s="598" t="s">
        <v>156</v>
      </c>
    </row>
    <row r="782" spans="1:3">
      <c r="A782" s="594">
        <v>777</v>
      </c>
      <c r="B782" s="597"/>
      <c r="C782" s="598" t="s">
        <v>156</v>
      </c>
    </row>
    <row r="783" spans="1:3">
      <c r="A783" s="594">
        <v>778</v>
      </c>
      <c r="B783" s="597"/>
      <c r="C783" s="598" t="s">
        <v>156</v>
      </c>
    </row>
    <row r="784" spans="1:3">
      <c r="A784" s="594">
        <v>779</v>
      </c>
      <c r="B784" s="597"/>
      <c r="C784" s="598" t="s">
        <v>156</v>
      </c>
    </row>
    <row r="785" spans="1:3">
      <c r="A785" s="594">
        <v>780</v>
      </c>
      <c r="B785" s="597"/>
      <c r="C785" s="598" t="s">
        <v>156</v>
      </c>
    </row>
    <row r="786" spans="1:3">
      <c r="A786" s="594">
        <v>781</v>
      </c>
      <c r="B786" s="597"/>
      <c r="C786" s="598" t="s">
        <v>156</v>
      </c>
    </row>
    <row r="787" spans="1:3">
      <c r="A787" s="594">
        <v>782</v>
      </c>
      <c r="B787" s="597"/>
      <c r="C787" s="598" t="s">
        <v>156</v>
      </c>
    </row>
    <row r="788" spans="1:3">
      <c r="A788" s="594">
        <v>783</v>
      </c>
      <c r="B788" s="597"/>
      <c r="C788" s="598" t="s">
        <v>156</v>
      </c>
    </row>
    <row r="789" spans="1:3">
      <c r="A789" s="594">
        <v>784</v>
      </c>
      <c r="B789" s="597"/>
      <c r="C789" s="598" t="s">
        <v>156</v>
      </c>
    </row>
    <row r="790" spans="1:3">
      <c r="A790" s="594">
        <v>785</v>
      </c>
      <c r="B790" s="597"/>
      <c r="C790" s="598" t="s">
        <v>156</v>
      </c>
    </row>
    <row r="791" spans="1:3">
      <c r="A791" s="594">
        <v>786</v>
      </c>
      <c r="B791" s="597"/>
      <c r="C791" s="598" t="s">
        <v>156</v>
      </c>
    </row>
    <row r="792" spans="1:3">
      <c r="A792" s="594">
        <v>787</v>
      </c>
      <c r="B792" s="597"/>
      <c r="C792" s="598" t="s">
        <v>156</v>
      </c>
    </row>
    <row r="793" spans="1:3">
      <c r="A793" s="594">
        <v>788</v>
      </c>
      <c r="B793" s="597"/>
      <c r="C793" s="598" t="s">
        <v>156</v>
      </c>
    </row>
    <row r="794" spans="1:3">
      <c r="A794" s="594">
        <v>789</v>
      </c>
      <c r="B794" s="597"/>
      <c r="C794" s="598" t="s">
        <v>156</v>
      </c>
    </row>
    <row r="795" spans="1:3">
      <c r="A795" s="594">
        <v>790</v>
      </c>
      <c r="B795" s="597"/>
      <c r="C795" s="598" t="s">
        <v>156</v>
      </c>
    </row>
    <row r="796" spans="1:3">
      <c r="A796" s="594">
        <v>791</v>
      </c>
      <c r="B796" s="597"/>
      <c r="C796" s="598" t="s">
        <v>156</v>
      </c>
    </row>
    <row r="797" spans="1:3">
      <c r="A797" s="594">
        <v>792</v>
      </c>
      <c r="B797" s="597"/>
      <c r="C797" s="598" t="s">
        <v>156</v>
      </c>
    </row>
    <row r="798" spans="1:3">
      <c r="A798" s="594">
        <v>793</v>
      </c>
      <c r="B798" s="597"/>
      <c r="C798" s="598" t="s">
        <v>156</v>
      </c>
    </row>
    <row r="799" spans="1:3">
      <c r="A799" s="594">
        <v>794</v>
      </c>
      <c r="B799" s="597"/>
      <c r="C799" s="598" t="s">
        <v>156</v>
      </c>
    </row>
    <row r="800" spans="1:3">
      <c r="A800" s="594">
        <v>795</v>
      </c>
      <c r="B800" s="597"/>
      <c r="C800" s="598" t="s">
        <v>156</v>
      </c>
    </row>
    <row r="801" spans="1:3">
      <c r="A801" s="594">
        <v>796</v>
      </c>
      <c r="B801" s="597"/>
      <c r="C801" s="598" t="s">
        <v>156</v>
      </c>
    </row>
    <row r="802" spans="1:3">
      <c r="A802" s="594">
        <v>797</v>
      </c>
      <c r="B802" s="597"/>
      <c r="C802" s="598" t="s">
        <v>156</v>
      </c>
    </row>
    <row r="803" spans="1:3">
      <c r="A803" s="594">
        <v>798</v>
      </c>
      <c r="B803" s="597"/>
      <c r="C803" s="598" t="s">
        <v>156</v>
      </c>
    </row>
    <row r="804" spans="1:3">
      <c r="A804" s="594">
        <v>799</v>
      </c>
      <c r="B804" s="597"/>
      <c r="C804" s="598" t="s">
        <v>156</v>
      </c>
    </row>
    <row r="805" spans="1:3">
      <c r="A805" s="594">
        <v>800</v>
      </c>
      <c r="B805" s="597"/>
      <c r="C805" s="598" t="s">
        <v>156</v>
      </c>
    </row>
    <row r="806" spans="1:3">
      <c r="A806" s="594">
        <v>801</v>
      </c>
      <c r="B806" s="597"/>
      <c r="C806" s="598" t="s">
        <v>156</v>
      </c>
    </row>
    <row r="807" spans="1:3">
      <c r="A807" s="594">
        <v>802</v>
      </c>
      <c r="B807" s="597"/>
      <c r="C807" s="598" t="s">
        <v>156</v>
      </c>
    </row>
    <row r="808" spans="1:3">
      <c r="A808" s="594">
        <v>803</v>
      </c>
      <c r="B808" s="597"/>
      <c r="C808" s="598" t="s">
        <v>156</v>
      </c>
    </row>
    <row r="809" spans="1:3">
      <c r="A809" s="594">
        <v>804</v>
      </c>
      <c r="B809" s="597"/>
      <c r="C809" s="598" t="s">
        <v>156</v>
      </c>
    </row>
    <row r="810" spans="1:3">
      <c r="A810" s="594">
        <v>805</v>
      </c>
      <c r="B810" s="597"/>
      <c r="C810" s="598" t="s">
        <v>156</v>
      </c>
    </row>
    <row r="811" spans="1:3">
      <c r="A811" s="594">
        <v>806</v>
      </c>
      <c r="B811" s="597"/>
      <c r="C811" s="598" t="s">
        <v>156</v>
      </c>
    </row>
    <row r="812" spans="1:3">
      <c r="A812" s="594">
        <v>807</v>
      </c>
      <c r="B812" s="597"/>
      <c r="C812" s="598" t="s">
        <v>156</v>
      </c>
    </row>
    <row r="813" spans="1:3">
      <c r="A813" s="594">
        <v>808</v>
      </c>
      <c r="B813" s="597"/>
      <c r="C813" s="598" t="s">
        <v>156</v>
      </c>
    </row>
    <row r="814" spans="1:3">
      <c r="A814" s="594">
        <v>809</v>
      </c>
      <c r="B814" s="597"/>
      <c r="C814" s="598" t="s">
        <v>156</v>
      </c>
    </row>
    <row r="815" spans="1:3">
      <c r="A815" s="594">
        <v>810</v>
      </c>
      <c r="B815" s="597"/>
      <c r="C815" s="598" t="s">
        <v>156</v>
      </c>
    </row>
    <row r="816" spans="1:3">
      <c r="A816" s="594">
        <v>811</v>
      </c>
      <c r="B816" s="597"/>
      <c r="C816" s="598" t="s">
        <v>156</v>
      </c>
    </row>
    <row r="817" spans="1:3">
      <c r="A817" s="594">
        <v>812</v>
      </c>
      <c r="B817" s="597"/>
      <c r="C817" s="598" t="s">
        <v>156</v>
      </c>
    </row>
    <row r="818" spans="1:3">
      <c r="A818" s="594">
        <v>813</v>
      </c>
      <c r="B818" s="597"/>
      <c r="C818" s="598" t="s">
        <v>156</v>
      </c>
    </row>
    <row r="819" spans="1:3">
      <c r="A819" s="594">
        <v>814</v>
      </c>
      <c r="B819" s="597"/>
      <c r="C819" s="598" t="s">
        <v>156</v>
      </c>
    </row>
    <row r="820" spans="1:3">
      <c r="A820" s="594">
        <v>815</v>
      </c>
      <c r="B820" s="597"/>
      <c r="C820" s="598" t="s">
        <v>156</v>
      </c>
    </row>
    <row r="821" spans="1:3">
      <c r="A821" s="594">
        <v>816</v>
      </c>
      <c r="B821" s="597"/>
      <c r="C821" s="598" t="s">
        <v>156</v>
      </c>
    </row>
    <row r="822" spans="1:3">
      <c r="A822" s="594">
        <v>817</v>
      </c>
      <c r="B822" s="597"/>
      <c r="C822" s="598" t="s">
        <v>156</v>
      </c>
    </row>
    <row r="823" spans="1:3">
      <c r="A823" s="594">
        <v>818</v>
      </c>
      <c r="B823" s="597"/>
      <c r="C823" s="598" t="s">
        <v>156</v>
      </c>
    </row>
    <row r="824" spans="1:3">
      <c r="A824" s="594">
        <v>819</v>
      </c>
      <c r="B824" s="597"/>
      <c r="C824" s="598" t="s">
        <v>156</v>
      </c>
    </row>
    <row r="825" spans="1:3">
      <c r="A825" s="594">
        <v>820</v>
      </c>
      <c r="B825" s="597"/>
      <c r="C825" s="598" t="s">
        <v>156</v>
      </c>
    </row>
    <row r="826" spans="1:3">
      <c r="A826" s="594">
        <v>821</v>
      </c>
      <c r="B826" s="597"/>
      <c r="C826" s="598" t="s">
        <v>156</v>
      </c>
    </row>
    <row r="827" spans="1:3">
      <c r="A827" s="594">
        <v>822</v>
      </c>
      <c r="B827" s="597"/>
      <c r="C827" s="598" t="s">
        <v>156</v>
      </c>
    </row>
    <row r="828" spans="1:3">
      <c r="A828" s="594">
        <v>823</v>
      </c>
      <c r="B828" s="597"/>
      <c r="C828" s="598" t="s">
        <v>156</v>
      </c>
    </row>
    <row r="829" spans="1:3">
      <c r="A829" s="594">
        <v>824</v>
      </c>
      <c r="B829" s="597"/>
      <c r="C829" s="598" t="s">
        <v>156</v>
      </c>
    </row>
    <row r="830" spans="1:3">
      <c r="A830" s="594">
        <v>825</v>
      </c>
      <c r="B830" s="597"/>
      <c r="C830" s="598" t="s">
        <v>156</v>
      </c>
    </row>
    <row r="831" spans="1:3">
      <c r="A831" s="594">
        <v>826</v>
      </c>
      <c r="B831" s="597"/>
      <c r="C831" s="598" t="s">
        <v>156</v>
      </c>
    </row>
    <row r="832" spans="1:3">
      <c r="A832" s="594">
        <v>827</v>
      </c>
      <c r="B832" s="597"/>
      <c r="C832" s="598" t="s">
        <v>156</v>
      </c>
    </row>
    <row r="833" spans="1:3">
      <c r="A833" s="594">
        <v>828</v>
      </c>
      <c r="B833" s="597"/>
      <c r="C833" s="598" t="s">
        <v>156</v>
      </c>
    </row>
    <row r="834" spans="1:3">
      <c r="A834" s="594">
        <v>829</v>
      </c>
      <c r="B834" s="597"/>
      <c r="C834" s="598" t="s">
        <v>156</v>
      </c>
    </row>
    <row r="835" spans="1:3">
      <c r="A835" s="594">
        <v>830</v>
      </c>
      <c r="B835" s="597"/>
      <c r="C835" s="598" t="s">
        <v>156</v>
      </c>
    </row>
    <row r="836" spans="1:3">
      <c r="A836" s="594">
        <v>831</v>
      </c>
      <c r="B836" s="597"/>
      <c r="C836" s="598" t="s">
        <v>156</v>
      </c>
    </row>
    <row r="837" spans="1:3">
      <c r="A837" s="594">
        <v>832</v>
      </c>
      <c r="B837" s="597"/>
      <c r="C837" s="598" t="s">
        <v>156</v>
      </c>
    </row>
    <row r="838" spans="1:3">
      <c r="A838" s="594">
        <v>833</v>
      </c>
      <c r="B838" s="597"/>
      <c r="C838" s="598" t="s">
        <v>156</v>
      </c>
    </row>
    <row r="839" spans="1:3">
      <c r="A839" s="594">
        <v>834</v>
      </c>
      <c r="B839" s="597"/>
      <c r="C839" s="598" t="s">
        <v>156</v>
      </c>
    </row>
    <row r="840" spans="1:3">
      <c r="A840" s="594">
        <v>835</v>
      </c>
      <c r="B840" s="597"/>
      <c r="C840" s="598" t="s">
        <v>156</v>
      </c>
    </row>
    <row r="841" spans="1:3">
      <c r="A841" s="594">
        <v>836</v>
      </c>
      <c r="B841" s="597"/>
      <c r="C841" s="598" t="s">
        <v>156</v>
      </c>
    </row>
    <row r="842" spans="1:3">
      <c r="A842" s="594">
        <v>837</v>
      </c>
      <c r="B842" s="597"/>
      <c r="C842" s="598" t="s">
        <v>156</v>
      </c>
    </row>
    <row r="843" spans="1:3">
      <c r="A843" s="594">
        <v>838</v>
      </c>
      <c r="B843" s="597"/>
      <c r="C843" s="598" t="s">
        <v>156</v>
      </c>
    </row>
    <row r="844" spans="1:3">
      <c r="A844" s="594">
        <v>839</v>
      </c>
      <c r="B844" s="597"/>
      <c r="C844" s="598" t="s">
        <v>156</v>
      </c>
    </row>
    <row r="845" spans="1:3">
      <c r="A845" s="594">
        <v>840</v>
      </c>
      <c r="B845" s="597"/>
      <c r="C845" s="598" t="s">
        <v>156</v>
      </c>
    </row>
    <row r="846" spans="1:3">
      <c r="A846" s="594">
        <v>841</v>
      </c>
      <c r="B846" s="597"/>
      <c r="C846" s="598" t="s">
        <v>156</v>
      </c>
    </row>
    <row r="847" spans="1:3">
      <c r="A847" s="594">
        <v>842</v>
      </c>
      <c r="B847" s="597"/>
      <c r="C847" s="598" t="s">
        <v>156</v>
      </c>
    </row>
    <row r="848" spans="1:3">
      <c r="A848" s="594">
        <v>843</v>
      </c>
      <c r="B848" s="597"/>
      <c r="C848" s="598" t="s">
        <v>156</v>
      </c>
    </row>
    <row r="849" spans="1:3">
      <c r="A849" s="594">
        <v>844</v>
      </c>
      <c r="B849" s="597"/>
      <c r="C849" s="598" t="s">
        <v>156</v>
      </c>
    </row>
    <row r="850" spans="1:3">
      <c r="A850" s="594">
        <v>845</v>
      </c>
      <c r="B850" s="597"/>
      <c r="C850" s="598" t="s">
        <v>156</v>
      </c>
    </row>
    <row r="851" spans="1:3">
      <c r="A851" s="594">
        <v>846</v>
      </c>
      <c r="B851" s="597"/>
      <c r="C851" s="598" t="s">
        <v>156</v>
      </c>
    </row>
    <row r="852" spans="1:3">
      <c r="A852" s="594">
        <v>847</v>
      </c>
      <c r="B852" s="597"/>
      <c r="C852" s="598" t="s">
        <v>156</v>
      </c>
    </row>
    <row r="853" spans="1:3">
      <c r="A853" s="594">
        <v>848</v>
      </c>
      <c r="B853" s="597"/>
      <c r="C853" s="598" t="s">
        <v>156</v>
      </c>
    </row>
    <row r="854" spans="1:3">
      <c r="A854" s="594">
        <v>849</v>
      </c>
      <c r="B854" s="597"/>
      <c r="C854" s="598" t="s">
        <v>156</v>
      </c>
    </row>
    <row r="855" spans="1:3">
      <c r="A855" s="594">
        <v>850</v>
      </c>
      <c r="B855" s="597"/>
      <c r="C855" s="598" t="s">
        <v>156</v>
      </c>
    </row>
    <row r="856" spans="1:3">
      <c r="A856" s="594">
        <v>851</v>
      </c>
      <c r="B856" s="597"/>
      <c r="C856" s="598" t="s">
        <v>156</v>
      </c>
    </row>
    <row r="857" spans="1:3">
      <c r="A857" s="594">
        <v>852</v>
      </c>
      <c r="B857" s="597"/>
      <c r="C857" s="598" t="s">
        <v>156</v>
      </c>
    </row>
    <row r="858" spans="1:3">
      <c r="A858" s="594">
        <v>853</v>
      </c>
      <c r="B858" s="597"/>
      <c r="C858" s="598" t="s">
        <v>156</v>
      </c>
    </row>
    <row r="859" spans="1:3">
      <c r="A859" s="594">
        <v>854</v>
      </c>
      <c r="B859" s="597"/>
      <c r="C859" s="598" t="s">
        <v>156</v>
      </c>
    </row>
    <row r="860" spans="1:3">
      <c r="A860" s="594">
        <v>855</v>
      </c>
      <c r="B860" s="597"/>
      <c r="C860" s="598" t="s">
        <v>156</v>
      </c>
    </row>
    <row r="861" spans="1:3">
      <c r="A861" s="594">
        <v>856</v>
      </c>
      <c r="B861" s="597"/>
      <c r="C861" s="598" t="s">
        <v>156</v>
      </c>
    </row>
    <row r="862" spans="1:3">
      <c r="A862" s="594">
        <v>857</v>
      </c>
      <c r="B862" s="597"/>
      <c r="C862" s="598" t="s">
        <v>156</v>
      </c>
    </row>
    <row r="863" spans="1:3">
      <c r="A863" s="594">
        <v>858</v>
      </c>
      <c r="B863" s="597"/>
      <c r="C863" s="598" t="s">
        <v>156</v>
      </c>
    </row>
    <row r="864" spans="1:3">
      <c r="A864" s="594">
        <v>859</v>
      </c>
      <c r="B864" s="597"/>
      <c r="C864" s="598" t="s">
        <v>156</v>
      </c>
    </row>
    <row r="865" spans="1:3">
      <c r="A865" s="594">
        <v>860</v>
      </c>
      <c r="B865" s="597"/>
      <c r="C865" s="598" t="s">
        <v>156</v>
      </c>
    </row>
    <row r="866" spans="1:3">
      <c r="A866" s="594">
        <v>861</v>
      </c>
      <c r="B866" s="597"/>
      <c r="C866" s="598" t="s">
        <v>156</v>
      </c>
    </row>
    <row r="867" spans="1:3">
      <c r="A867" s="594">
        <v>862</v>
      </c>
      <c r="B867" s="597"/>
      <c r="C867" s="598" t="s">
        <v>156</v>
      </c>
    </row>
    <row r="868" spans="1:3">
      <c r="A868" s="594">
        <v>863</v>
      </c>
      <c r="B868" s="597"/>
      <c r="C868" s="598" t="s">
        <v>156</v>
      </c>
    </row>
    <row r="869" spans="1:3">
      <c r="A869" s="594">
        <v>864</v>
      </c>
      <c r="B869" s="597"/>
      <c r="C869" s="598" t="s">
        <v>156</v>
      </c>
    </row>
    <row r="870" spans="1:3">
      <c r="A870" s="594">
        <v>865</v>
      </c>
      <c r="B870" s="597"/>
      <c r="C870" s="598" t="s">
        <v>156</v>
      </c>
    </row>
    <row r="871" spans="1:3">
      <c r="A871" s="594">
        <v>866</v>
      </c>
      <c r="B871" s="597"/>
      <c r="C871" s="598" t="s">
        <v>156</v>
      </c>
    </row>
    <row r="872" spans="1:3">
      <c r="A872" s="594">
        <v>867</v>
      </c>
      <c r="B872" s="597"/>
      <c r="C872" s="598" t="s">
        <v>156</v>
      </c>
    </row>
    <row r="873" spans="1:3">
      <c r="A873" s="594">
        <v>868</v>
      </c>
      <c r="B873" s="597"/>
      <c r="C873" s="598" t="s">
        <v>156</v>
      </c>
    </row>
    <row r="874" spans="1:3">
      <c r="A874" s="594">
        <v>869</v>
      </c>
      <c r="B874" s="597"/>
      <c r="C874" s="598" t="s">
        <v>156</v>
      </c>
    </row>
    <row r="875" spans="1:3">
      <c r="A875" s="594">
        <v>870</v>
      </c>
      <c r="B875" s="597"/>
      <c r="C875" s="598" t="s">
        <v>156</v>
      </c>
    </row>
    <row r="876" spans="1:3">
      <c r="A876" s="594">
        <v>871</v>
      </c>
      <c r="B876" s="597"/>
      <c r="C876" s="598" t="s">
        <v>156</v>
      </c>
    </row>
    <row r="877" spans="1:3">
      <c r="A877" s="594">
        <v>872</v>
      </c>
      <c r="B877" s="597"/>
      <c r="C877" s="598" t="s">
        <v>156</v>
      </c>
    </row>
    <row r="878" spans="1:3">
      <c r="A878" s="594">
        <v>873</v>
      </c>
      <c r="B878" s="597"/>
      <c r="C878" s="598" t="s">
        <v>156</v>
      </c>
    </row>
    <row r="879" spans="1:3">
      <c r="A879" s="594">
        <v>874</v>
      </c>
      <c r="B879" s="597"/>
      <c r="C879" s="598" t="s">
        <v>156</v>
      </c>
    </row>
    <row r="880" spans="1:3">
      <c r="A880" s="594">
        <v>875</v>
      </c>
      <c r="B880" s="597"/>
      <c r="C880" s="598" t="s">
        <v>156</v>
      </c>
    </row>
    <row r="881" spans="1:3">
      <c r="A881" s="594">
        <v>876</v>
      </c>
      <c r="B881" s="597"/>
      <c r="C881" s="598" t="s">
        <v>156</v>
      </c>
    </row>
    <row r="882" spans="1:3">
      <c r="A882" s="594">
        <v>877</v>
      </c>
      <c r="B882" s="597"/>
      <c r="C882" s="598" t="s">
        <v>156</v>
      </c>
    </row>
    <row r="883" spans="1:3">
      <c r="A883" s="594">
        <v>878</v>
      </c>
      <c r="B883" s="597"/>
      <c r="C883" s="598" t="s">
        <v>156</v>
      </c>
    </row>
    <row r="884" spans="1:3">
      <c r="A884" s="594">
        <v>879</v>
      </c>
      <c r="B884" s="597"/>
      <c r="C884" s="598" t="s">
        <v>156</v>
      </c>
    </row>
    <row r="885" spans="1:3">
      <c r="A885" s="594">
        <v>880</v>
      </c>
      <c r="B885" s="597"/>
      <c r="C885" s="598" t="s">
        <v>156</v>
      </c>
    </row>
    <row r="886" spans="1:3">
      <c r="A886" s="594">
        <v>881</v>
      </c>
      <c r="B886" s="597"/>
      <c r="C886" s="598" t="s">
        <v>156</v>
      </c>
    </row>
    <row r="887" spans="1:3">
      <c r="A887" s="594">
        <v>882</v>
      </c>
      <c r="B887" s="597"/>
      <c r="C887" s="598" t="s">
        <v>156</v>
      </c>
    </row>
    <row r="888" spans="1:3">
      <c r="A888" s="594">
        <v>883</v>
      </c>
      <c r="B888" s="597"/>
      <c r="C888" s="598" t="s">
        <v>156</v>
      </c>
    </row>
    <row r="889" spans="1:3">
      <c r="A889" s="594">
        <v>884</v>
      </c>
      <c r="B889" s="597"/>
      <c r="C889" s="598" t="s">
        <v>156</v>
      </c>
    </row>
    <row r="890" spans="1:3">
      <c r="A890" s="594">
        <v>885</v>
      </c>
      <c r="B890" s="597"/>
      <c r="C890" s="598" t="s">
        <v>156</v>
      </c>
    </row>
    <row r="891" spans="1:3">
      <c r="A891" s="594">
        <v>886</v>
      </c>
      <c r="B891" s="597"/>
      <c r="C891" s="598" t="s">
        <v>156</v>
      </c>
    </row>
    <row r="892" spans="1:3">
      <c r="A892" s="594">
        <v>887</v>
      </c>
      <c r="B892" s="597"/>
      <c r="C892" s="598" t="s">
        <v>156</v>
      </c>
    </row>
    <row r="893" spans="1:3">
      <c r="A893" s="594">
        <v>888</v>
      </c>
      <c r="B893" s="597"/>
      <c r="C893" s="598" t="s">
        <v>156</v>
      </c>
    </row>
    <row r="894" spans="1:3">
      <c r="A894" s="594">
        <v>889</v>
      </c>
      <c r="B894" s="597"/>
      <c r="C894" s="598" t="s">
        <v>156</v>
      </c>
    </row>
    <row r="895" spans="1:3">
      <c r="A895" s="594">
        <v>890</v>
      </c>
      <c r="B895" s="597"/>
      <c r="C895" s="598" t="s">
        <v>156</v>
      </c>
    </row>
    <row r="896" spans="1:3">
      <c r="A896" s="594">
        <v>891</v>
      </c>
      <c r="B896" s="597"/>
      <c r="C896" s="598" t="s">
        <v>156</v>
      </c>
    </row>
    <row r="897" spans="1:3">
      <c r="A897" s="594">
        <v>892</v>
      </c>
      <c r="B897" s="597"/>
      <c r="C897" s="598" t="s">
        <v>156</v>
      </c>
    </row>
    <row r="898" spans="1:3">
      <c r="A898" s="594">
        <v>893</v>
      </c>
      <c r="B898" s="597"/>
      <c r="C898" s="598" t="s">
        <v>156</v>
      </c>
    </row>
    <row r="899" spans="1:3">
      <c r="A899" s="594">
        <v>894</v>
      </c>
      <c r="B899" s="597"/>
      <c r="C899" s="598" t="s">
        <v>156</v>
      </c>
    </row>
    <row r="900" spans="1:3">
      <c r="A900" s="594">
        <v>895</v>
      </c>
      <c r="B900" s="597"/>
      <c r="C900" s="598" t="s">
        <v>156</v>
      </c>
    </row>
    <row r="901" spans="1:3">
      <c r="A901" s="594">
        <v>896</v>
      </c>
      <c r="B901" s="597"/>
      <c r="C901" s="598" t="s">
        <v>156</v>
      </c>
    </row>
    <row r="902" spans="1:3">
      <c r="A902" s="594">
        <v>897</v>
      </c>
      <c r="B902" s="597"/>
      <c r="C902" s="598" t="s">
        <v>156</v>
      </c>
    </row>
    <row r="903" spans="1:3">
      <c r="A903" s="594">
        <v>898</v>
      </c>
      <c r="B903" s="597"/>
      <c r="C903" s="598" t="s">
        <v>156</v>
      </c>
    </row>
    <row r="904" spans="1:3">
      <c r="A904" s="594">
        <v>899</v>
      </c>
      <c r="B904" s="597"/>
      <c r="C904" s="598" t="s">
        <v>156</v>
      </c>
    </row>
    <row r="905" spans="1:3">
      <c r="A905" s="594">
        <v>900</v>
      </c>
      <c r="B905" s="597"/>
      <c r="C905" s="598" t="s">
        <v>156</v>
      </c>
    </row>
    <row r="906" spans="1:3">
      <c r="A906" s="594">
        <v>901</v>
      </c>
      <c r="B906" s="597"/>
      <c r="C906" s="598" t="s">
        <v>156</v>
      </c>
    </row>
    <row r="907" spans="1:3">
      <c r="A907" s="594">
        <v>902</v>
      </c>
      <c r="B907" s="597"/>
      <c r="C907" s="598" t="s">
        <v>156</v>
      </c>
    </row>
    <row r="908" spans="1:3">
      <c r="A908" s="594">
        <v>903</v>
      </c>
      <c r="B908" s="597"/>
      <c r="C908" s="598" t="s">
        <v>156</v>
      </c>
    </row>
    <row r="909" spans="1:3">
      <c r="A909" s="594">
        <v>904</v>
      </c>
      <c r="B909" s="597"/>
      <c r="C909" s="598" t="s">
        <v>156</v>
      </c>
    </row>
    <row r="910" spans="1:3">
      <c r="A910" s="594">
        <v>905</v>
      </c>
      <c r="B910" s="597"/>
      <c r="C910" s="598" t="s">
        <v>156</v>
      </c>
    </row>
    <row r="911" spans="1:3">
      <c r="A911" s="594">
        <v>906</v>
      </c>
      <c r="B911" s="597"/>
      <c r="C911" s="598" t="s">
        <v>156</v>
      </c>
    </row>
    <row r="912" spans="1:3">
      <c r="A912" s="594">
        <v>907</v>
      </c>
      <c r="B912" s="597"/>
      <c r="C912" s="598" t="s">
        <v>156</v>
      </c>
    </row>
    <row r="913" spans="1:3">
      <c r="A913" s="594">
        <v>908</v>
      </c>
      <c r="B913" s="597"/>
      <c r="C913" s="598" t="s">
        <v>156</v>
      </c>
    </row>
    <row r="914" spans="1:3">
      <c r="A914" s="594">
        <v>909</v>
      </c>
      <c r="B914" s="597"/>
      <c r="C914" s="598" t="s">
        <v>156</v>
      </c>
    </row>
    <row r="915" spans="1:3">
      <c r="A915" s="594">
        <v>910</v>
      </c>
      <c r="B915" s="597"/>
      <c r="C915" s="598" t="s">
        <v>156</v>
      </c>
    </row>
    <row r="916" spans="1:3">
      <c r="A916" s="594">
        <v>911</v>
      </c>
      <c r="B916" s="597"/>
      <c r="C916" s="598" t="s">
        <v>156</v>
      </c>
    </row>
    <row r="917" spans="1:3">
      <c r="A917" s="594">
        <v>912</v>
      </c>
      <c r="B917" s="597"/>
      <c r="C917" s="598" t="s">
        <v>156</v>
      </c>
    </row>
    <row r="918" spans="1:3">
      <c r="A918" s="594">
        <v>913</v>
      </c>
      <c r="B918" s="597"/>
      <c r="C918" s="598" t="s">
        <v>156</v>
      </c>
    </row>
    <row r="919" spans="1:3">
      <c r="A919" s="594">
        <v>914</v>
      </c>
      <c r="B919" s="597"/>
      <c r="C919" s="598" t="s">
        <v>156</v>
      </c>
    </row>
    <row r="920" spans="1:3">
      <c r="A920" s="594">
        <v>915</v>
      </c>
      <c r="B920" s="597"/>
      <c r="C920" s="598" t="s">
        <v>156</v>
      </c>
    </row>
    <row r="921" spans="1:3">
      <c r="A921" s="594">
        <v>916</v>
      </c>
      <c r="B921" s="597"/>
      <c r="C921" s="598" t="s">
        <v>156</v>
      </c>
    </row>
    <row r="922" spans="1:3">
      <c r="A922" s="594">
        <v>917</v>
      </c>
      <c r="B922" s="597"/>
      <c r="C922" s="598" t="s">
        <v>156</v>
      </c>
    </row>
    <row r="923" spans="1:3">
      <c r="A923" s="594">
        <v>918</v>
      </c>
      <c r="B923" s="597"/>
      <c r="C923" s="598" t="s">
        <v>156</v>
      </c>
    </row>
    <row r="924" spans="1:3">
      <c r="A924" s="594">
        <v>919</v>
      </c>
      <c r="B924" s="597"/>
      <c r="C924" s="598" t="s">
        <v>156</v>
      </c>
    </row>
    <row r="925" spans="1:3">
      <c r="A925" s="594">
        <v>920</v>
      </c>
      <c r="B925" s="597"/>
      <c r="C925" s="598" t="s">
        <v>156</v>
      </c>
    </row>
    <row r="926" spans="1:3">
      <c r="A926" s="594">
        <v>921</v>
      </c>
      <c r="B926" s="597"/>
      <c r="C926" s="598" t="s">
        <v>156</v>
      </c>
    </row>
    <row r="927" spans="1:3">
      <c r="A927" s="594">
        <v>922</v>
      </c>
      <c r="B927" s="597"/>
      <c r="C927" s="598" t="s">
        <v>156</v>
      </c>
    </row>
    <row r="928" spans="1:3">
      <c r="A928" s="594">
        <v>923</v>
      </c>
      <c r="B928" s="597"/>
      <c r="C928" s="598" t="s">
        <v>156</v>
      </c>
    </row>
    <row r="929" spans="1:3">
      <c r="A929" s="594">
        <v>924</v>
      </c>
      <c r="B929" s="597"/>
      <c r="C929" s="598" t="s">
        <v>156</v>
      </c>
    </row>
    <row r="930" spans="1:3">
      <c r="A930" s="594">
        <v>925</v>
      </c>
      <c r="B930" s="597"/>
      <c r="C930" s="598" t="s">
        <v>156</v>
      </c>
    </row>
    <row r="931" spans="1:3">
      <c r="A931" s="594">
        <v>926</v>
      </c>
      <c r="B931" s="597"/>
      <c r="C931" s="598" t="s">
        <v>156</v>
      </c>
    </row>
    <row r="932" spans="1:3">
      <c r="A932" s="594">
        <v>927</v>
      </c>
      <c r="B932" s="597"/>
      <c r="C932" s="598" t="s">
        <v>156</v>
      </c>
    </row>
    <row r="933" spans="1:3">
      <c r="A933" s="594">
        <v>928</v>
      </c>
      <c r="B933" s="597"/>
      <c r="C933" s="598" t="s">
        <v>156</v>
      </c>
    </row>
    <row r="934" spans="1:3">
      <c r="A934" s="594">
        <v>929</v>
      </c>
      <c r="B934" s="597"/>
      <c r="C934" s="598" t="s">
        <v>156</v>
      </c>
    </row>
    <row r="935" spans="1:3">
      <c r="A935" s="594">
        <v>930</v>
      </c>
      <c r="B935" s="597"/>
      <c r="C935" s="598" t="s">
        <v>156</v>
      </c>
    </row>
    <row r="936" spans="1:3">
      <c r="A936" s="594">
        <v>931</v>
      </c>
      <c r="B936" s="597"/>
      <c r="C936" s="598" t="s">
        <v>156</v>
      </c>
    </row>
    <row r="937" spans="1:3">
      <c r="A937" s="594">
        <v>932</v>
      </c>
      <c r="B937" s="597"/>
      <c r="C937" s="598" t="s">
        <v>156</v>
      </c>
    </row>
    <row r="938" spans="1:3">
      <c r="A938" s="594">
        <v>933</v>
      </c>
      <c r="B938" s="597"/>
      <c r="C938" s="598" t="s">
        <v>156</v>
      </c>
    </row>
    <row r="939" spans="1:3">
      <c r="A939" s="594">
        <v>934</v>
      </c>
      <c r="B939" s="597"/>
      <c r="C939" s="598" t="s">
        <v>156</v>
      </c>
    </row>
    <row r="940" spans="1:3">
      <c r="A940" s="594">
        <v>935</v>
      </c>
      <c r="B940" s="597"/>
      <c r="C940" s="598" t="s">
        <v>156</v>
      </c>
    </row>
    <row r="941" spans="1:3">
      <c r="A941" s="594">
        <v>936</v>
      </c>
      <c r="B941" s="597"/>
      <c r="C941" s="598" t="s">
        <v>156</v>
      </c>
    </row>
    <row r="942" spans="1:3">
      <c r="A942" s="594">
        <v>937</v>
      </c>
      <c r="B942" s="597"/>
      <c r="C942" s="598" t="s">
        <v>156</v>
      </c>
    </row>
    <row r="943" spans="1:3">
      <c r="A943" s="594">
        <v>938</v>
      </c>
      <c r="B943" s="597"/>
      <c r="C943" s="598" t="s">
        <v>156</v>
      </c>
    </row>
    <row r="944" spans="1:3">
      <c r="A944" s="594">
        <v>939</v>
      </c>
      <c r="B944" s="597"/>
      <c r="C944" s="598" t="s">
        <v>156</v>
      </c>
    </row>
    <row r="945" spans="1:3">
      <c r="A945" s="594">
        <v>940</v>
      </c>
      <c r="B945" s="597"/>
      <c r="C945" s="598" t="s">
        <v>156</v>
      </c>
    </row>
    <row r="946" spans="1:3">
      <c r="A946" s="594">
        <v>941</v>
      </c>
      <c r="B946" s="597"/>
      <c r="C946" s="598" t="s">
        <v>156</v>
      </c>
    </row>
    <row r="947" spans="1:3">
      <c r="A947" s="594">
        <v>942</v>
      </c>
      <c r="B947" s="597"/>
      <c r="C947" s="598" t="s">
        <v>156</v>
      </c>
    </row>
    <row r="948" spans="1:3">
      <c r="A948" s="594">
        <v>943</v>
      </c>
      <c r="B948" s="597"/>
      <c r="C948" s="598" t="s">
        <v>156</v>
      </c>
    </row>
    <row r="949" spans="1:3">
      <c r="A949" s="594">
        <v>944</v>
      </c>
      <c r="B949" s="597"/>
      <c r="C949" s="598" t="s">
        <v>156</v>
      </c>
    </row>
    <row r="950" spans="1:3">
      <c r="A950" s="594">
        <v>945</v>
      </c>
      <c r="B950" s="597"/>
      <c r="C950" s="598" t="s">
        <v>156</v>
      </c>
    </row>
    <row r="951" spans="1:3">
      <c r="A951" s="594">
        <v>946</v>
      </c>
      <c r="B951" s="597"/>
      <c r="C951" s="598" t="s">
        <v>156</v>
      </c>
    </row>
    <row r="952" spans="1:3">
      <c r="A952" s="594">
        <v>947</v>
      </c>
      <c r="B952" s="597"/>
      <c r="C952" s="598" t="s">
        <v>156</v>
      </c>
    </row>
    <row r="953" spans="1:3">
      <c r="A953" s="594">
        <v>948</v>
      </c>
      <c r="B953" s="597"/>
      <c r="C953" s="598" t="s">
        <v>156</v>
      </c>
    </row>
    <row r="954" spans="1:3">
      <c r="A954" s="594">
        <v>949</v>
      </c>
      <c r="B954" s="597"/>
      <c r="C954" s="598" t="s">
        <v>156</v>
      </c>
    </row>
    <row r="955" spans="1:3">
      <c r="A955" s="594">
        <v>950</v>
      </c>
      <c r="B955" s="597"/>
      <c r="C955" s="598" t="s">
        <v>156</v>
      </c>
    </row>
    <row r="956" spans="1:3">
      <c r="A956" s="594">
        <v>951</v>
      </c>
      <c r="B956" s="597"/>
      <c r="C956" s="598" t="s">
        <v>156</v>
      </c>
    </row>
    <row r="957" spans="1:3">
      <c r="A957" s="594">
        <v>952</v>
      </c>
      <c r="B957" s="597"/>
      <c r="C957" s="598" t="s">
        <v>156</v>
      </c>
    </row>
    <row r="958" spans="1:3">
      <c r="A958" s="594">
        <v>953</v>
      </c>
      <c r="B958" s="597"/>
      <c r="C958" s="598" t="s">
        <v>156</v>
      </c>
    </row>
    <row r="959" spans="1:3">
      <c r="A959" s="594">
        <v>954</v>
      </c>
      <c r="B959" s="597"/>
      <c r="C959" s="598" t="s">
        <v>156</v>
      </c>
    </row>
    <row r="960" spans="1:3">
      <c r="A960" s="594">
        <v>955</v>
      </c>
      <c r="B960" s="597"/>
      <c r="C960" s="598" t="s">
        <v>156</v>
      </c>
    </row>
    <row r="961" spans="1:3">
      <c r="A961" s="594">
        <v>956</v>
      </c>
      <c r="B961" s="597"/>
      <c r="C961" s="598" t="s">
        <v>156</v>
      </c>
    </row>
    <row r="962" spans="1:3">
      <c r="A962" s="594">
        <v>957</v>
      </c>
      <c r="B962" s="597"/>
      <c r="C962" s="598" t="s">
        <v>156</v>
      </c>
    </row>
    <row r="963" spans="1:3">
      <c r="A963" s="594">
        <v>958</v>
      </c>
      <c r="B963" s="597"/>
      <c r="C963" s="598" t="s">
        <v>156</v>
      </c>
    </row>
    <row r="964" spans="1:3">
      <c r="A964" s="594">
        <v>959</v>
      </c>
      <c r="B964" s="597"/>
      <c r="C964" s="598" t="s">
        <v>156</v>
      </c>
    </row>
    <row r="965" spans="1:3">
      <c r="A965" s="594">
        <v>960</v>
      </c>
      <c r="B965" s="597"/>
      <c r="C965" s="598" t="s">
        <v>156</v>
      </c>
    </row>
    <row r="966" spans="1:3">
      <c r="A966" s="594">
        <v>961</v>
      </c>
      <c r="B966" s="597"/>
      <c r="C966" s="598" t="s">
        <v>156</v>
      </c>
    </row>
    <row r="967" spans="1:3">
      <c r="A967" s="594">
        <v>962</v>
      </c>
      <c r="B967" s="597"/>
      <c r="C967" s="598" t="s">
        <v>156</v>
      </c>
    </row>
  </sheetData>
  <sheetProtection formatColumns="0" autoFilter="0"/>
  <autoFilter ref="A5:AA967" xr:uid="{E3EFBBBB-D5EA-40DD-9BA4-C4F84669DF41}">
    <sortState xmlns:xlrd2="http://schemas.microsoft.com/office/spreadsheetml/2017/richdata2" ref="A12:AA298">
      <sortCondition ref="A5:A967"/>
    </sortState>
  </autoFilter>
  <sortState xmlns:xlrd2="http://schemas.microsoft.com/office/spreadsheetml/2017/richdata2" ref="A6:V292">
    <sortCondition ref="C6:C292"/>
  </sortState>
  <conditionalFormatting sqref="B6:B967">
    <cfRule type="containsText" dxfId="130" priority="1" operator="containsText" text="M">
      <formula>NOT(ISERROR(SEARCH("M",B6)))</formula>
    </cfRule>
    <cfRule type="containsText" dxfId="129" priority="2" operator="containsText" text="C">
      <formula>NOT(ISERROR(SEARCH("C",B6)))</formula>
    </cfRule>
    <cfRule type="containsText" dxfId="128" priority="3" operator="containsText" text="F">
      <formula>NOT(ISERROR(SEARCH("F",B6)))</formula>
    </cfRule>
  </conditionalFormatting>
  <hyperlinks>
    <hyperlink ref="A4" r:id="rId1" xr:uid="{20EE646C-698C-40B4-8515-4373F514DE3C}"/>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9B648-575E-48AD-B818-F16ACA336C41}">
  <sheetPr codeName="Feuil3">
    <tabColor rgb="FF6CA52D"/>
    <pageSetUpPr fitToPage="1"/>
  </sheetPr>
  <dimension ref="A1:Z82"/>
  <sheetViews>
    <sheetView showGridLines="0" zoomScaleNormal="100" workbookViewId="0">
      <selection activeCell="S19" sqref="S19"/>
    </sheetView>
  </sheetViews>
  <sheetFormatPr baseColWidth="10" defaultColWidth="11.44140625" defaultRowHeight="13.8"/>
  <cols>
    <col min="1" max="1" width="4.6640625" style="109" customWidth="1"/>
    <col min="2" max="2" width="33.88671875" style="109" customWidth="1"/>
    <col min="3" max="3" width="6.44140625" style="109" customWidth="1"/>
    <col min="4" max="5" width="8.6640625" style="109" customWidth="1"/>
    <col min="6" max="6" width="10.109375" style="109" customWidth="1"/>
    <col min="7" max="18" width="8.6640625" style="109" customWidth="1"/>
    <col min="19" max="19" width="11.109375" style="109" customWidth="1"/>
    <col min="20" max="22" width="8.6640625" style="109" customWidth="1"/>
    <col min="23" max="23" width="9.6640625" style="109" customWidth="1"/>
    <col min="24" max="24" width="11.44140625" style="109" customWidth="1"/>
    <col min="25" max="16384" width="11.44140625" style="109"/>
  </cols>
  <sheetData>
    <row r="1" spans="2:23" ht="25.5" customHeight="1">
      <c r="B1" s="775" t="s">
        <v>157</v>
      </c>
      <c r="C1" s="775"/>
      <c r="D1" s="775"/>
      <c r="E1" s="775"/>
      <c r="F1" s="775"/>
      <c r="G1" s="775"/>
      <c r="H1" s="775"/>
      <c r="I1" s="775"/>
      <c r="J1" s="775"/>
      <c r="K1" s="775"/>
      <c r="L1" s="775"/>
      <c r="M1" s="775"/>
      <c r="N1" s="775"/>
      <c r="O1" s="775"/>
      <c r="P1" s="775"/>
      <c r="Q1" s="775"/>
      <c r="R1" s="775"/>
      <c r="S1" s="775"/>
      <c r="T1" s="775"/>
      <c r="U1" s="775"/>
      <c r="V1" s="775"/>
      <c r="W1" s="775"/>
    </row>
    <row r="2" spans="2:23" ht="14.4" thickBot="1"/>
    <row r="3" spans="2:23" ht="16.8" thickTop="1" thickBot="1">
      <c r="B3" s="90" t="s">
        <v>158</v>
      </c>
      <c r="C3" s="777"/>
      <c r="D3" s="777"/>
      <c r="E3" s="777"/>
      <c r="F3" s="778"/>
      <c r="N3" s="268" t="s">
        <v>159</v>
      </c>
      <c r="O3" s="269"/>
      <c r="P3" s="213">
        <f>G39/H13</f>
        <v>0</v>
      </c>
      <c r="S3" s="111"/>
      <c r="T3" s="112" t="s">
        <v>160</v>
      </c>
      <c r="U3" s="111"/>
      <c r="V3" s="111"/>
    </row>
    <row r="4" spans="2:23" ht="16.8" thickTop="1" thickBot="1">
      <c r="B4" s="92" t="s">
        <v>161</v>
      </c>
      <c r="C4" s="779"/>
      <c r="D4" s="779"/>
      <c r="E4" s="779"/>
      <c r="F4" s="779"/>
      <c r="N4" s="270" t="s">
        <v>162</v>
      </c>
      <c r="O4" s="271"/>
      <c r="P4" s="214" t="e">
        <f>(AVERAGE(MIN(H42:I42),MIN(K42:M42)))*(D13/1000)-W39</f>
        <v>#VALUE!</v>
      </c>
    </row>
    <row r="5" spans="2:23" ht="16.8" thickTop="1" thickBot="1">
      <c r="B5" s="91" t="s">
        <v>163</v>
      </c>
      <c r="C5" s="780"/>
      <c r="D5" s="780"/>
      <c r="E5" s="780"/>
      <c r="F5" s="781"/>
      <c r="I5" s="113"/>
      <c r="N5" s="270" t="s">
        <v>164</v>
      </c>
      <c r="O5" s="271"/>
      <c r="P5" s="215" t="e">
        <f>M39/K39</f>
        <v>#DIV/0!</v>
      </c>
    </row>
    <row r="6" spans="2:23" ht="6" customHeight="1" thickBot="1">
      <c r="B6" s="1"/>
      <c r="N6" s="1"/>
      <c r="O6" s="272"/>
      <c r="P6" s="1"/>
    </row>
    <row r="7" spans="2:23" ht="17.399999999999999" thickTop="1" thickBot="1">
      <c r="B7" s="11" t="s">
        <v>165</v>
      </c>
      <c r="N7" s="270" t="s">
        <v>166</v>
      </c>
      <c r="O7" s="271"/>
      <c r="P7" s="216" t="e">
        <f>AVERAGE(MIN(H42:I42),MIN(K42:M42))</f>
        <v>#VALUE!</v>
      </c>
    </row>
    <row r="8" spans="2:23" ht="6" customHeight="1" thickTop="1" thickBot="1">
      <c r="B8" s="1"/>
    </row>
    <row r="9" spans="2:23">
      <c r="B9" s="292" t="s">
        <v>167</v>
      </c>
      <c r="C9" s="289"/>
      <c r="D9" s="115">
        <v>650</v>
      </c>
      <c r="F9" s="18" t="s">
        <v>168</v>
      </c>
      <c r="G9" s="18"/>
      <c r="H9" s="217" t="s">
        <v>169</v>
      </c>
      <c r="I9" s="218" t="s">
        <v>42</v>
      </c>
      <c r="J9" s="218" t="s">
        <v>170</v>
      </c>
      <c r="K9" s="218" t="s">
        <v>171</v>
      </c>
      <c r="L9" s="218" t="s">
        <v>172</v>
      </c>
      <c r="M9" s="218" t="s">
        <v>173</v>
      </c>
      <c r="N9" s="218" t="s">
        <v>46</v>
      </c>
      <c r="O9" s="218" t="s">
        <v>48</v>
      </c>
      <c r="P9" s="219" t="s">
        <v>49</v>
      </c>
    </row>
    <row r="10" spans="2:23">
      <c r="B10" s="293" t="s">
        <v>174</v>
      </c>
      <c r="C10" s="290"/>
      <c r="D10" s="118">
        <v>25</v>
      </c>
      <c r="F10" s="220" t="s">
        <v>175</v>
      </c>
      <c r="G10" s="221"/>
      <c r="H10" s="222">
        <f>IF(G80=TRUE,D9*0.02,1.4*(D9/100+2))</f>
        <v>11.899999999999999</v>
      </c>
      <c r="I10" s="223">
        <f>(42.4*D9^0.75)*(1+(D15-15)*0.00165)</f>
        <v>5550.7552221424185</v>
      </c>
      <c r="J10" s="224">
        <f>D9/10+54</f>
        <v>119</v>
      </c>
      <c r="K10" s="224"/>
      <c r="L10" s="224">
        <f>0.05*D9</f>
        <v>32.5</v>
      </c>
      <c r="M10" s="224">
        <f>0.03*D9</f>
        <v>19.5</v>
      </c>
      <c r="N10" s="222">
        <f>0.041*D9^0.75*1.1</f>
        <v>5.8057931596586609</v>
      </c>
      <c r="O10" s="223">
        <f>3.25*$D$9^0.75</f>
        <v>418.37755585123381</v>
      </c>
      <c r="P10" s="225">
        <f>3.25*$D$9^0.75</f>
        <v>418.37755585123381</v>
      </c>
    </row>
    <row r="11" spans="2:23">
      <c r="B11" s="293" t="s">
        <v>176</v>
      </c>
      <c r="C11" s="290"/>
      <c r="D11" s="119">
        <v>4</v>
      </c>
      <c r="F11" s="226" t="s">
        <v>177</v>
      </c>
      <c r="G11" s="227"/>
      <c r="H11" s="228">
        <f>IF(G80=TRUE,D10*(0.05*D11+0.11),0.3*D15)</f>
        <v>7.5825000000000005</v>
      </c>
      <c r="I11" s="229">
        <f>(442*D15)*(1+(D15-15)*0.00165)</f>
        <v>11360.949665812503</v>
      </c>
      <c r="J11" s="229">
        <f>(1.396*(D10*D12*10))+(0.000195*((D10*D12*10)^2))</f>
        <v>1370.796875</v>
      </c>
      <c r="K11" s="230"/>
      <c r="L11" s="230">
        <f>3*D10</f>
        <v>75</v>
      </c>
      <c r="M11" s="230">
        <f>2*D10</f>
        <v>50</v>
      </c>
      <c r="N11" s="228">
        <f>D10*(0.44+(0.0055*((D11*10)-40))+(0.0033*((D12*10)-31)))</f>
        <v>11.33</v>
      </c>
      <c r="O11" s="229">
        <f>($D$10*$D$12*10)/S55</f>
        <v>1364.3984643461388</v>
      </c>
      <c r="P11" s="231">
        <f>($D$10*$D$12*10)/S55</f>
        <v>1364.3984643461388</v>
      </c>
    </row>
    <row r="12" spans="2:23">
      <c r="B12" s="293" t="s">
        <v>178</v>
      </c>
      <c r="C12" s="290"/>
      <c r="D12" s="119">
        <v>3.5</v>
      </c>
      <c r="F12" s="232" t="s">
        <v>179</v>
      </c>
      <c r="G12" s="233"/>
      <c r="H12" s="234">
        <v>0</v>
      </c>
      <c r="I12" s="234" cm="1">
        <f t="array" ref="I12">_xlfn.IFS($D$14=$A$80,B80,$D$14=$A$81,B81,$D$14=$A$82,B82)</f>
        <v>0</v>
      </c>
      <c r="J12" s="234" cm="1">
        <f t="array" ref="J12">_xlfn.IFS($D$14=$A$80,C80,$D$14=$A$81,C81,$D$14=$A$82,C82)</f>
        <v>0</v>
      </c>
      <c r="K12" s="234"/>
      <c r="L12" s="234">
        <v>0</v>
      </c>
      <c r="M12" s="234">
        <v>0</v>
      </c>
      <c r="N12" s="234" cm="1">
        <f t="array" ref="N12">_xlfn.IFS($D$14=$A$80,D80,$D$14=$A$81,D81,$D$14=$A$82,D82)</f>
        <v>0</v>
      </c>
      <c r="O12" s="234" cm="1">
        <f t="array" ref="O12">_xlfn.IFS($D$14=$A$80,E80,$D$14=$A$81,E81,$D$14=$A$82,E82)</f>
        <v>0</v>
      </c>
      <c r="P12" s="235">
        <f>O12</f>
        <v>0</v>
      </c>
    </row>
    <row r="13" spans="2:23">
      <c r="B13" s="293" t="s">
        <v>180</v>
      </c>
      <c r="C13" s="150"/>
      <c r="D13" s="118">
        <v>460</v>
      </c>
      <c r="F13" s="232" t="s">
        <v>181</v>
      </c>
      <c r="G13" s="236"/>
      <c r="H13" s="237">
        <f>H10+H11+H12</f>
        <v>19.482499999999998</v>
      </c>
      <c r="I13" s="238">
        <f t="shared" ref="I13:P13" si="0">I10+I11+I12</f>
        <v>16911.704887954922</v>
      </c>
      <c r="J13" s="238">
        <f t="shared" si="0"/>
        <v>1489.796875</v>
      </c>
      <c r="K13" s="239">
        <v>300</v>
      </c>
      <c r="L13" s="239">
        <f t="shared" si="0"/>
        <v>107.5</v>
      </c>
      <c r="M13" s="239">
        <f t="shared" si="0"/>
        <v>69.5</v>
      </c>
      <c r="N13" s="237">
        <f t="shared" si="0"/>
        <v>17.135793159658661</v>
      </c>
      <c r="O13" s="238">
        <f>O10+O11+O12</f>
        <v>1782.7760201973726</v>
      </c>
      <c r="P13" s="240">
        <f t="shared" si="0"/>
        <v>1782.7760201973726</v>
      </c>
    </row>
    <row r="14" spans="2:23" ht="14.4">
      <c r="B14" s="293" t="s">
        <v>182</v>
      </c>
      <c r="C14" s="291"/>
      <c r="D14" s="124" t="s">
        <v>183</v>
      </c>
      <c r="F14" s="232" t="s">
        <v>184</v>
      </c>
      <c r="G14" s="241"/>
      <c r="H14" s="242">
        <v>1</v>
      </c>
      <c r="I14" s="243">
        <f t="shared" ref="I14:P14" si="1">I13/$H$13</f>
        <v>868.04593291184005</v>
      </c>
      <c r="J14" s="243">
        <f t="shared" si="1"/>
        <v>76.468465289362257</v>
      </c>
      <c r="K14" s="243">
        <f t="shared" si="1"/>
        <v>15.398434492493264</v>
      </c>
      <c r="L14" s="244">
        <f t="shared" si="1"/>
        <v>5.5177723598100865</v>
      </c>
      <c r="M14" s="244">
        <f t="shared" si="1"/>
        <v>3.5673039907609398</v>
      </c>
      <c r="N14" s="244">
        <f t="shared" si="1"/>
        <v>0.87954796148639358</v>
      </c>
      <c r="O14" s="243">
        <f t="shared" si="1"/>
        <v>91.506532539323644</v>
      </c>
      <c r="P14" s="245">
        <f t="shared" si="1"/>
        <v>91.506532539323644</v>
      </c>
      <c r="W14" s="125"/>
    </row>
    <row r="15" spans="2:23" ht="15" thickBot="1">
      <c r="B15" s="294" t="s">
        <v>185</v>
      </c>
      <c r="C15" s="126"/>
      <c r="D15" s="212">
        <f>(0.337+0.116*D11+0.06*D12)*D10</f>
        <v>25.275000000000002</v>
      </c>
      <c r="F15" s="127"/>
      <c r="G15" s="128"/>
      <c r="H15" s="122"/>
      <c r="I15" s="121"/>
      <c r="K15" s="121"/>
      <c r="L15" s="120"/>
      <c r="M15" s="120"/>
      <c r="N15" s="120"/>
      <c r="O15" s="121"/>
      <c r="P15" s="121"/>
      <c r="W15" s="125"/>
    </row>
    <row r="16" spans="2:23" ht="7.2" customHeight="1">
      <c r="B16" s="1"/>
      <c r="W16" s="125"/>
    </row>
    <row r="17" spans="1:26" ht="16.2" customHeight="1">
      <c r="B17" s="11" t="s">
        <v>186</v>
      </c>
      <c r="F17" s="129"/>
    </row>
    <row r="18" spans="1:26" ht="6.75" customHeight="1" thickBot="1">
      <c r="B18" s="1"/>
    </row>
    <row r="19" spans="1:26" s="132" customFormat="1" ht="31.5" customHeight="1">
      <c r="A19" s="130"/>
      <c r="B19" s="267" t="s">
        <v>40</v>
      </c>
      <c r="C19" s="246" t="s">
        <v>187</v>
      </c>
      <c r="D19" s="246" t="s">
        <v>188</v>
      </c>
      <c r="E19" s="246" t="s">
        <v>189</v>
      </c>
      <c r="F19" s="246" t="s">
        <v>190</v>
      </c>
      <c r="G19" s="246" t="s">
        <v>191</v>
      </c>
      <c r="H19" s="246" t="s">
        <v>42</v>
      </c>
      <c r="I19" s="246" t="s">
        <v>44</v>
      </c>
      <c r="J19" s="246" t="s">
        <v>45</v>
      </c>
      <c r="K19" s="246" t="s">
        <v>46</v>
      </c>
      <c r="L19" s="246" t="s">
        <v>48</v>
      </c>
      <c r="M19" s="246" t="s">
        <v>49</v>
      </c>
      <c r="N19" s="246" t="s">
        <v>50</v>
      </c>
      <c r="O19" s="246" t="s">
        <v>51</v>
      </c>
      <c r="P19" s="246" t="s">
        <v>52</v>
      </c>
      <c r="Q19" s="246" t="s">
        <v>192</v>
      </c>
      <c r="R19" s="246" t="s">
        <v>54</v>
      </c>
      <c r="S19" s="246" t="s">
        <v>193</v>
      </c>
      <c r="T19" s="246" t="s">
        <v>56</v>
      </c>
      <c r="U19" s="246" t="s">
        <v>57</v>
      </c>
      <c r="V19" s="246" t="s">
        <v>59</v>
      </c>
      <c r="W19" s="273" t="s">
        <v>194</v>
      </c>
    </row>
    <row r="20" spans="1:26">
      <c r="A20" s="133"/>
      <c r="B20" s="134"/>
      <c r="C20" s="247" t="str">
        <f>IF(ISBLANK(B20),"",INDEX('Liste des aliments'!$B$6:$B$966,MATCH(B20,'Liste des aliments'!$C$6:$C$966,0)))</f>
        <v/>
      </c>
      <c r="D20" s="135"/>
      <c r="E20" s="136"/>
      <c r="F20" s="7" t="str">
        <f>IF(ISBLANK($B20)," ",VLOOKUP($B20,'Liste des aliments'!$C$6:$W$966,2,FALSE))</f>
        <v xml:space="preserve"> </v>
      </c>
      <c r="G20" s="8" t="str">
        <f>IF(ISBLANK(B20)," ",(D20*E20/100))</f>
        <v xml:space="preserve"> </v>
      </c>
      <c r="H20" s="9" t="str">
        <f>IF(ISBLANK($B20)," ",VLOOKUP($B20,'Liste des aliments'!$C$6:$W$966,3,FALSE))</f>
        <v xml:space="preserve"> </v>
      </c>
      <c r="I20" s="9" t="str">
        <f>IF(ISBLANK($B20)," ",VLOOKUP($B20,'Liste des aliments'!$C$6:$W$966,5,FALSE))</f>
        <v xml:space="preserve"> </v>
      </c>
      <c r="J20" s="9" t="str">
        <f>IF(ISBLANK($B20)," ",VLOOKUP($B20,'Liste des aliments'!$C$6:$W$966,6,FALSE))</f>
        <v xml:space="preserve"> </v>
      </c>
      <c r="K20" s="8" t="str">
        <f>IF(ISBLANK($B20)," ",VLOOKUP($B20,'Liste des aliments'!$C$6:$W$966,7,FALSE))</f>
        <v xml:space="preserve"> </v>
      </c>
      <c r="L20" s="9" t="str">
        <f>IF(ISBLANK($B20)," ",VLOOKUP($B20,'Liste des aliments'!$C$6:$W$966,9,FALSE))</f>
        <v xml:space="preserve"> </v>
      </c>
      <c r="M20" s="9" t="str">
        <f>IF(ISBLANK($B20)," ",VLOOKUP($B20,'Liste des aliments'!$C$6:$W$966,10,FALSE))</f>
        <v xml:space="preserve"> </v>
      </c>
      <c r="N20" s="9" t="str">
        <f>IF(ISBLANK($B20)," ",VLOOKUP($B20,'Liste des aliments'!$C$6:$W$966,11,FALSE))</f>
        <v xml:space="preserve"> </v>
      </c>
      <c r="O20" s="7" t="str">
        <f>IF(ISBLANK($B20)," ",VLOOKUP($B20,'Liste des aliments'!$C$6:$W$966,12,FALSE))</f>
        <v xml:space="preserve"> </v>
      </c>
      <c r="P20" s="7" t="str">
        <f>IF(ISBLANK($B20)," ",VLOOKUP($B20,'Liste des aliments'!$C$6:$W$966,13,FALSE))</f>
        <v xml:space="preserve"> </v>
      </c>
      <c r="Q20" s="9" t="str">
        <f>IF(ISBLANK($B20)," ",VLOOKUP($B20,'Liste des aliments'!$C$6:$W$966,14,FALSE))</f>
        <v xml:space="preserve"> </v>
      </c>
      <c r="R20" s="9" t="str">
        <f>IF(ISBLANK($B20)," ",VLOOKUP($B20,'Liste des aliments'!$C$6:$W$966,15,FALSE))</f>
        <v xml:space="preserve"> </v>
      </c>
      <c r="S20" s="9" t="str">
        <f>IF(ISBLANK($B20)," ",VLOOKUP($B20,'Liste des aliments'!$C$6:$W$966,16,FALSE))</f>
        <v xml:space="preserve"> </v>
      </c>
      <c r="T20" s="9" t="str">
        <f>IF(ISBLANK($B20)," ",VLOOKUP($B20,'Liste des aliments'!$C$6:$W$966,17,FALSE))</f>
        <v xml:space="preserve"> </v>
      </c>
      <c r="U20" s="9" t="str">
        <f>IF(ISBLANK($B20)," ",VLOOKUP($B20,'Liste des aliments'!$C$6:$W$966,18,FALSE))</f>
        <v xml:space="preserve"> </v>
      </c>
      <c r="V20" s="9" t="str">
        <f>IF(ISBLANK($B20)," ",VLOOKUP($B20,'Liste des aliments'!$C$6:$W$966,20,FALSE))</f>
        <v xml:space="preserve"> </v>
      </c>
      <c r="W20" s="107"/>
    </row>
    <row r="21" spans="1:26">
      <c r="A21" s="133"/>
      <c r="B21" s="137"/>
      <c r="C21" s="89" t="str">
        <f>IF(ISBLANK(B21),"",INDEX('Liste des aliments'!$B$6:$B$966,MATCH(B21,'Liste des aliments'!$C$6:$C$966,0)))</f>
        <v/>
      </c>
      <c r="D21" s="138"/>
      <c r="E21" s="139"/>
      <c r="F21" s="13" t="str">
        <f>IF(ISBLANK($B21)," ",VLOOKUP($B21,'Liste des aliments'!$C$6:$W$966,2,FALSE))</f>
        <v xml:space="preserve"> </v>
      </c>
      <c r="G21" s="14" t="str">
        <f t="shared" ref="G21:G35" si="2">IF(ISBLANK(B21)," ",(D21*E21/100))</f>
        <v xml:space="preserve"> </v>
      </c>
      <c r="H21" s="12" t="str">
        <f>IF(ISBLANK($B21)," ",VLOOKUP($B21,'Liste des aliments'!$C$6:$W$966,3,FALSE))</f>
        <v xml:space="preserve"> </v>
      </c>
      <c r="I21" s="12" t="str">
        <f>IF(ISBLANK($B21)," ",VLOOKUP($B21,'Liste des aliments'!$C$6:$W$966,5,FALSE))</f>
        <v xml:space="preserve"> </v>
      </c>
      <c r="J21" s="12" t="str">
        <f>IF(ISBLANK($B21)," ",VLOOKUP($B21,'Liste des aliments'!$C$6:$W$966,6,FALSE))</f>
        <v xml:space="preserve"> </v>
      </c>
      <c r="K21" s="14" t="str">
        <f>IF(ISBLANK($B21)," ",VLOOKUP($B21,'Liste des aliments'!$C$6:$W$966,7,FALSE))</f>
        <v xml:space="preserve"> </v>
      </c>
      <c r="L21" s="12" t="str">
        <f>IF(ISBLANK($B21)," ",VLOOKUP($B21,'Liste des aliments'!$C$6:$W$966,9,FALSE))</f>
        <v xml:space="preserve"> </v>
      </c>
      <c r="M21" s="12" t="str">
        <f>IF(ISBLANK($B21)," ",VLOOKUP($B21,'Liste des aliments'!$C$6:$W$966,10,FALSE))</f>
        <v xml:space="preserve"> </v>
      </c>
      <c r="N21" s="12" t="str">
        <f>IF(ISBLANK($B21)," ",VLOOKUP($B21,'Liste des aliments'!$C$6:$W$966,11,FALSE))</f>
        <v xml:space="preserve"> </v>
      </c>
      <c r="O21" s="13" t="str">
        <f>IF(ISBLANK($B21)," ",VLOOKUP($B21,'Liste des aliments'!$C$6:$W$966,12,FALSE))</f>
        <v xml:space="preserve"> </v>
      </c>
      <c r="P21" s="13" t="str">
        <f>IF(ISBLANK($B21)," ",VLOOKUP($B21,'Liste des aliments'!$C$6:$W$966,13,FALSE))</f>
        <v xml:space="preserve"> </v>
      </c>
      <c r="Q21" s="12" t="str">
        <f>IF(ISBLANK($B21)," ",VLOOKUP($B21,'Liste des aliments'!$C$6:$W$966,14,FALSE))</f>
        <v xml:space="preserve"> </v>
      </c>
      <c r="R21" s="12" t="str">
        <f>IF(ISBLANK($B21)," ",VLOOKUP($B21,'Liste des aliments'!$C$6:$W$966,15,FALSE))</f>
        <v xml:space="preserve"> </v>
      </c>
      <c r="S21" s="12" t="str">
        <f>IF(ISBLANK($B21)," ",VLOOKUP($B21,'Liste des aliments'!$C$6:$W$966,16,FALSE))</f>
        <v xml:space="preserve"> </v>
      </c>
      <c r="T21" s="12" t="str">
        <f>IF(ISBLANK($B21)," ",VLOOKUP($B21,'Liste des aliments'!$C$6:$W$966,17,FALSE))</f>
        <v xml:space="preserve"> </v>
      </c>
      <c r="U21" s="12" t="str">
        <f>IF(ISBLANK($B21)," ",VLOOKUP($B21,'Liste des aliments'!$C$6:$W$966,18,FALSE))</f>
        <v xml:space="preserve"> </v>
      </c>
      <c r="V21" s="12" t="str">
        <f>IF(ISBLANK($B21)," ",VLOOKUP($B21,'Liste des aliments'!$C$6:$W$966,20,FALSE))</f>
        <v xml:space="preserve"> </v>
      </c>
      <c r="W21" s="107"/>
    </row>
    <row r="22" spans="1:26">
      <c r="A22" s="133"/>
      <c r="B22" s="137"/>
      <c r="C22" s="89" t="str">
        <f>IF(ISBLANK(B22),"",INDEX('Liste des aliments'!$B$6:$B$966,MATCH(B22,'Liste des aliments'!$C$6:$C$966,0)))</f>
        <v/>
      </c>
      <c r="D22" s="138"/>
      <c r="E22" s="139"/>
      <c r="F22" s="13" t="str">
        <f>IF(ISBLANK($B22)," ",VLOOKUP($B22,'Liste des aliments'!$C$6:$W$966,2,FALSE))</f>
        <v xml:space="preserve"> </v>
      </c>
      <c r="G22" s="14" t="str">
        <f t="shared" si="2"/>
        <v xml:space="preserve"> </v>
      </c>
      <c r="H22" s="12" t="str">
        <f>IF(ISBLANK($B22)," ",VLOOKUP($B22,'Liste des aliments'!$C$6:$W$966,3,FALSE))</f>
        <v xml:space="preserve"> </v>
      </c>
      <c r="I22" s="12" t="str">
        <f>IF(ISBLANK($B22)," ",VLOOKUP($B22,'Liste des aliments'!$C$6:$W$966,5,FALSE))</f>
        <v xml:space="preserve"> </v>
      </c>
      <c r="J22" s="12" t="str">
        <f>IF(ISBLANK($B22)," ",VLOOKUP($B22,'Liste des aliments'!$C$6:$W$966,6,FALSE))</f>
        <v xml:space="preserve"> </v>
      </c>
      <c r="K22" s="14" t="str">
        <f>IF(ISBLANK($B22)," ",VLOOKUP($B22,'Liste des aliments'!$C$6:$W$966,7,FALSE))</f>
        <v xml:space="preserve"> </v>
      </c>
      <c r="L22" s="12" t="str">
        <f>IF(ISBLANK($B22)," ",VLOOKUP($B22,'Liste des aliments'!$C$6:$W$966,9,FALSE))</f>
        <v xml:space="preserve"> </v>
      </c>
      <c r="M22" s="12" t="str">
        <f>IF(ISBLANK($B22)," ",VLOOKUP($B22,'Liste des aliments'!$C$6:$W$966,10,FALSE))</f>
        <v xml:space="preserve"> </v>
      </c>
      <c r="N22" s="12" t="str">
        <f>IF(ISBLANK($B22)," ",VLOOKUP($B22,'Liste des aliments'!$C$6:$W$966,11,FALSE))</f>
        <v xml:space="preserve"> </v>
      </c>
      <c r="O22" s="13" t="str">
        <f>IF(ISBLANK($B22)," ",VLOOKUP($B22,'Liste des aliments'!$C$6:$W$966,12,FALSE))</f>
        <v xml:space="preserve"> </v>
      </c>
      <c r="P22" s="13" t="str">
        <f>IF(ISBLANK($B22)," ",VLOOKUP($B22,'Liste des aliments'!$C$6:$W$966,13,FALSE))</f>
        <v xml:space="preserve"> </v>
      </c>
      <c r="Q22" s="12" t="str">
        <f>IF(ISBLANK($B22)," ",VLOOKUP($B22,'Liste des aliments'!$C$6:$W$966,14,FALSE))</f>
        <v xml:space="preserve"> </v>
      </c>
      <c r="R22" s="12" t="str">
        <f>IF(ISBLANK($B22)," ",VLOOKUP($B22,'Liste des aliments'!$C$6:$W$966,15,FALSE))</f>
        <v xml:space="preserve"> </v>
      </c>
      <c r="S22" s="12" t="str">
        <f>IF(ISBLANK($B22)," ",VLOOKUP($B22,'Liste des aliments'!$C$6:$W$966,16,FALSE))</f>
        <v xml:space="preserve"> </v>
      </c>
      <c r="T22" s="12" t="str">
        <f>IF(ISBLANK($B22)," ",VLOOKUP($B22,'Liste des aliments'!$C$6:$W$966,17,FALSE))</f>
        <v xml:space="preserve"> </v>
      </c>
      <c r="U22" s="12" t="str">
        <f>IF(ISBLANK($B22)," ",VLOOKUP($B22,'Liste des aliments'!$C$6:$W$966,18,FALSE))</f>
        <v xml:space="preserve"> </v>
      </c>
      <c r="V22" s="12" t="str">
        <f>IF(ISBLANK($B22)," ",VLOOKUP($B22,'Liste des aliments'!$C$6:$W$966,20,FALSE))</f>
        <v xml:space="preserve"> </v>
      </c>
      <c r="W22" s="107"/>
    </row>
    <row r="23" spans="1:26" ht="15.6">
      <c r="A23" s="133"/>
      <c r="B23" s="137"/>
      <c r="C23" s="89" t="str">
        <f>IF(ISBLANK(B23),"",INDEX('Liste des aliments'!$B$6:$B$966,MATCH(B23,'Liste des aliments'!$C$6:$C$966,0)))</f>
        <v/>
      </c>
      <c r="D23" s="138"/>
      <c r="E23" s="139"/>
      <c r="F23" s="13" t="str">
        <f>IF(ISBLANK($B23)," ",VLOOKUP($B23,'Liste des aliments'!$C$6:$W$966,2,FALSE))</f>
        <v xml:space="preserve"> </v>
      </c>
      <c r="G23" s="14" t="str">
        <f t="shared" si="2"/>
        <v xml:space="preserve"> </v>
      </c>
      <c r="H23" s="12" t="str">
        <f>IF(ISBLANK($B23)," ",VLOOKUP($B23,'Liste des aliments'!$C$6:$W$966,3,FALSE))</f>
        <v xml:space="preserve"> </v>
      </c>
      <c r="I23" s="12" t="str">
        <f>IF(ISBLANK($B23)," ",VLOOKUP($B23,'Liste des aliments'!$C$6:$W$966,5,FALSE))</f>
        <v xml:space="preserve"> </v>
      </c>
      <c r="J23" s="12" t="str">
        <f>IF(ISBLANK($B23)," ",VLOOKUP($B23,'Liste des aliments'!$C$6:$W$966,6,FALSE))</f>
        <v xml:space="preserve"> </v>
      </c>
      <c r="K23" s="14" t="str">
        <f>IF(ISBLANK($B23)," ",VLOOKUP($B23,'Liste des aliments'!$C$6:$W$966,7,FALSE))</f>
        <v xml:space="preserve"> </v>
      </c>
      <c r="L23" s="12" t="str">
        <f>IF(ISBLANK($B23)," ",VLOOKUP($B23,'Liste des aliments'!$C$6:$W$966,9,FALSE))</f>
        <v xml:space="preserve"> </v>
      </c>
      <c r="M23" s="12" t="str">
        <f>IF(ISBLANK($B23)," ",VLOOKUP($B23,'Liste des aliments'!$C$6:$W$966,10,FALSE))</f>
        <v xml:space="preserve"> </v>
      </c>
      <c r="N23" s="12" t="str">
        <f>IF(ISBLANK($B23)," ",VLOOKUP($B23,'Liste des aliments'!$C$6:$W$966,11,FALSE))</f>
        <v xml:space="preserve"> </v>
      </c>
      <c r="O23" s="13" t="str">
        <f>IF(ISBLANK($B23)," ",VLOOKUP($B23,'Liste des aliments'!$C$6:$W$966,12,FALSE))</f>
        <v xml:space="preserve"> </v>
      </c>
      <c r="P23" s="13" t="str">
        <f>IF(ISBLANK($B23)," ",VLOOKUP($B23,'Liste des aliments'!$C$6:$W$966,13,FALSE))</f>
        <v xml:space="preserve"> </v>
      </c>
      <c r="Q23" s="12" t="str">
        <f>IF(ISBLANK($B23)," ",VLOOKUP($B23,'Liste des aliments'!$C$6:$W$966,14,FALSE))</f>
        <v xml:space="preserve"> </v>
      </c>
      <c r="R23" s="12" t="str">
        <f>IF(ISBLANK($B23)," ",VLOOKUP($B23,'Liste des aliments'!$C$6:$W$966,15,FALSE))</f>
        <v xml:space="preserve"> </v>
      </c>
      <c r="S23" s="12" t="str">
        <f>IF(ISBLANK($B23)," ",VLOOKUP($B23,'Liste des aliments'!$C$6:$W$966,16,FALSE))</f>
        <v xml:space="preserve"> </v>
      </c>
      <c r="T23" s="12" t="str">
        <f>IF(ISBLANK($B23)," ",VLOOKUP($B23,'Liste des aliments'!$C$6:$W$966,17,FALSE))</f>
        <v xml:space="preserve"> </v>
      </c>
      <c r="U23" s="12" t="str">
        <f>IF(ISBLANK($B23)," ",VLOOKUP($B23,'Liste des aliments'!$C$6:$W$966,18,FALSE))</f>
        <v xml:space="preserve"> </v>
      </c>
      <c r="V23" s="12" t="str">
        <f>IF(ISBLANK($B23)," ",VLOOKUP($B23,'Liste des aliments'!$C$6:$W$966,20,FALSE))</f>
        <v xml:space="preserve"> </v>
      </c>
      <c r="W23" s="107"/>
      <c r="Z23" s="141"/>
    </row>
    <row r="24" spans="1:26">
      <c r="A24" s="133"/>
      <c r="B24" s="137"/>
      <c r="C24" s="89" t="str">
        <f>IF(ISBLANK(B24),"",INDEX('Liste des aliments'!$B$6:$B$966,MATCH(B24,'Liste des aliments'!$C$6:$C$966,0)))</f>
        <v/>
      </c>
      <c r="D24" s="138"/>
      <c r="E24" s="139"/>
      <c r="F24" s="13" t="str">
        <f>IF(ISBLANK($B24)," ",VLOOKUP($B24,'Liste des aliments'!$C$6:$W$966,2,FALSE))</f>
        <v xml:space="preserve"> </v>
      </c>
      <c r="G24" s="14" t="str">
        <f t="shared" si="2"/>
        <v xml:space="preserve"> </v>
      </c>
      <c r="H24" s="12" t="str">
        <f>IF(ISBLANK($B24)," ",VLOOKUP($B24,'Liste des aliments'!$C$6:$W$966,3,FALSE))</f>
        <v xml:space="preserve"> </v>
      </c>
      <c r="I24" s="12" t="str">
        <f>IF(ISBLANK($B24)," ",VLOOKUP($B24,'Liste des aliments'!$C$6:$W$966,5,FALSE))</f>
        <v xml:space="preserve"> </v>
      </c>
      <c r="J24" s="12" t="str">
        <f>IF(ISBLANK($B24)," ",VLOOKUP($B24,'Liste des aliments'!$C$6:$W$966,6,FALSE))</f>
        <v xml:space="preserve"> </v>
      </c>
      <c r="K24" s="14" t="str">
        <f>IF(ISBLANK($B24)," ",VLOOKUP($B24,'Liste des aliments'!$C$6:$W$966,7,FALSE))</f>
        <v xml:space="preserve"> </v>
      </c>
      <c r="L24" s="12" t="str">
        <f>IF(ISBLANK($B24)," ",VLOOKUP($B24,'Liste des aliments'!$C$6:$W$966,9,FALSE))</f>
        <v xml:space="preserve"> </v>
      </c>
      <c r="M24" s="12" t="str">
        <f>IF(ISBLANK($B24)," ",VLOOKUP($B24,'Liste des aliments'!$C$6:$W$966,10,FALSE))</f>
        <v xml:space="preserve"> </v>
      </c>
      <c r="N24" s="12" t="str">
        <f>IF(ISBLANK($B24)," ",VLOOKUP($B24,'Liste des aliments'!$C$6:$W$966,11,FALSE))</f>
        <v xml:space="preserve"> </v>
      </c>
      <c r="O24" s="13" t="str">
        <f>IF(ISBLANK($B24)," ",VLOOKUP($B24,'Liste des aliments'!$C$6:$W$966,12,FALSE))</f>
        <v xml:space="preserve"> </v>
      </c>
      <c r="P24" s="13" t="str">
        <f>IF(ISBLANK($B24)," ",VLOOKUP($B24,'Liste des aliments'!$C$6:$W$966,13,FALSE))</f>
        <v xml:space="preserve"> </v>
      </c>
      <c r="Q24" s="12" t="str">
        <f>IF(ISBLANK($B24)," ",VLOOKUP($B24,'Liste des aliments'!$C$6:$W$966,14,FALSE))</f>
        <v xml:space="preserve"> </v>
      </c>
      <c r="R24" s="12" t="str">
        <f>IF(ISBLANK($B24)," ",VLOOKUP($B24,'Liste des aliments'!$C$6:$W$966,15,FALSE))</f>
        <v xml:space="preserve"> </v>
      </c>
      <c r="S24" s="12" t="str">
        <f>IF(ISBLANK($B24)," ",VLOOKUP($B24,'Liste des aliments'!$C$6:$W$966,16,FALSE))</f>
        <v xml:space="preserve"> </v>
      </c>
      <c r="T24" s="12" t="str">
        <f>IF(ISBLANK($B24)," ",VLOOKUP($B24,'Liste des aliments'!$C$6:$W$966,17,FALSE))</f>
        <v xml:space="preserve"> </v>
      </c>
      <c r="U24" s="12" t="str">
        <f>IF(ISBLANK($B24)," ",VLOOKUP($B24,'Liste des aliments'!$C$6:$W$966,18,FALSE))</f>
        <v xml:space="preserve"> </v>
      </c>
      <c r="V24" s="12" t="str">
        <f>IF(ISBLANK($B24)," ",VLOOKUP($B24,'Liste des aliments'!$C$6:$W$966,20,FALSE))</f>
        <v xml:space="preserve"> </v>
      </c>
      <c r="W24" s="107"/>
    </row>
    <row r="25" spans="1:26">
      <c r="A25" s="133"/>
      <c r="B25" s="137"/>
      <c r="C25" s="89" t="str">
        <f>IF(ISBLANK(B25),"",INDEX('Liste des aliments'!$B$6:$B$966,MATCH(B25,'Liste des aliments'!$C$6:$C$966,0)))</f>
        <v/>
      </c>
      <c r="D25" s="138"/>
      <c r="E25" s="139"/>
      <c r="F25" s="13" t="str">
        <f>IF(ISBLANK($B25)," ",VLOOKUP($B25,'Liste des aliments'!$C$6:$W$966,2,FALSE))</f>
        <v xml:space="preserve"> </v>
      </c>
      <c r="G25" s="14" t="str">
        <f t="shared" si="2"/>
        <v xml:space="preserve"> </v>
      </c>
      <c r="H25" s="12" t="str">
        <f>IF(ISBLANK($B25)," ",VLOOKUP($B25,'Liste des aliments'!$C$6:$W$966,3,FALSE))</f>
        <v xml:space="preserve"> </v>
      </c>
      <c r="I25" s="12" t="str">
        <f>IF(ISBLANK($B25)," ",VLOOKUP($B25,'Liste des aliments'!$C$6:$W$966,5,FALSE))</f>
        <v xml:space="preserve"> </v>
      </c>
      <c r="J25" s="12" t="str">
        <f>IF(ISBLANK($B25)," ",VLOOKUP($B25,'Liste des aliments'!$C$6:$W$966,6,FALSE))</f>
        <v xml:space="preserve"> </v>
      </c>
      <c r="K25" s="14" t="str">
        <f>IF(ISBLANK($B25)," ",VLOOKUP($B25,'Liste des aliments'!$C$6:$W$966,7,FALSE))</f>
        <v xml:space="preserve"> </v>
      </c>
      <c r="L25" s="12" t="str">
        <f>IF(ISBLANK($B25)," ",VLOOKUP($B25,'Liste des aliments'!$C$6:$W$966,9,FALSE))</f>
        <v xml:space="preserve"> </v>
      </c>
      <c r="M25" s="12" t="str">
        <f>IF(ISBLANK($B25)," ",VLOOKUP($B25,'Liste des aliments'!$C$6:$W$966,10,FALSE))</f>
        <v xml:space="preserve"> </v>
      </c>
      <c r="N25" s="12" t="str">
        <f>IF(ISBLANK($B25)," ",VLOOKUP($B25,'Liste des aliments'!$C$6:$W$966,11,FALSE))</f>
        <v xml:space="preserve"> </v>
      </c>
      <c r="O25" s="13" t="str">
        <f>IF(ISBLANK($B25)," ",VLOOKUP($B25,'Liste des aliments'!$C$6:$W$966,12,FALSE))</f>
        <v xml:space="preserve"> </v>
      </c>
      <c r="P25" s="13" t="str">
        <f>IF(ISBLANK($B25)," ",VLOOKUP($B25,'Liste des aliments'!$C$6:$W$966,13,FALSE))</f>
        <v xml:space="preserve"> </v>
      </c>
      <c r="Q25" s="12" t="str">
        <f>IF(ISBLANK($B25)," ",VLOOKUP($B25,'Liste des aliments'!$C$6:$W$966,14,FALSE))</f>
        <v xml:space="preserve"> </v>
      </c>
      <c r="R25" s="12" t="str">
        <f>IF(ISBLANK($B25)," ",VLOOKUP($B25,'Liste des aliments'!$C$6:$W$966,15,FALSE))</f>
        <v xml:space="preserve"> </v>
      </c>
      <c r="S25" s="12" t="str">
        <f>IF(ISBLANK($B25)," ",VLOOKUP($B25,'Liste des aliments'!$C$6:$W$966,16,FALSE))</f>
        <v xml:space="preserve"> </v>
      </c>
      <c r="T25" s="12" t="str">
        <f>IF(ISBLANK($B25)," ",VLOOKUP($B25,'Liste des aliments'!$C$6:$W$966,17,FALSE))</f>
        <v xml:space="preserve"> </v>
      </c>
      <c r="U25" s="12" t="str">
        <f>IF(ISBLANK($B25)," ",VLOOKUP($B25,'Liste des aliments'!$C$6:$W$966,18,FALSE))</f>
        <v xml:space="preserve"> </v>
      </c>
      <c r="V25" s="12" t="str">
        <f>IF(ISBLANK($B25)," ",VLOOKUP($B25,'Liste des aliments'!$C$6:$W$966,20,FALSE))</f>
        <v xml:space="preserve"> </v>
      </c>
      <c r="W25" s="107"/>
    </row>
    <row r="26" spans="1:26">
      <c r="A26" s="133"/>
      <c r="B26" s="137"/>
      <c r="C26" s="89" t="str">
        <f>IF(ISBLANK(B26),"",INDEX('Liste des aliments'!$B$6:$B$966,MATCH(B26,'Liste des aliments'!$C$6:$C$966,0)))</f>
        <v/>
      </c>
      <c r="D26" s="138"/>
      <c r="E26" s="139"/>
      <c r="F26" s="13" t="str">
        <f>IF(ISBLANK($B26)," ",VLOOKUP($B26,'Liste des aliments'!$C$6:$W$966,2,FALSE))</f>
        <v xml:space="preserve"> </v>
      </c>
      <c r="G26" s="14" t="str">
        <f t="shared" si="2"/>
        <v xml:space="preserve"> </v>
      </c>
      <c r="H26" s="12" t="str">
        <f>IF(ISBLANK($B26)," ",VLOOKUP($B26,'Liste des aliments'!$C$6:$W$966,3,FALSE))</f>
        <v xml:space="preserve"> </v>
      </c>
      <c r="I26" s="12" t="str">
        <f>IF(ISBLANK($B26)," ",VLOOKUP($B26,'Liste des aliments'!$C$6:$W$966,5,FALSE))</f>
        <v xml:space="preserve"> </v>
      </c>
      <c r="J26" s="12" t="str">
        <f>IF(ISBLANK($B26)," ",VLOOKUP($B26,'Liste des aliments'!$C$6:$W$966,6,FALSE))</f>
        <v xml:space="preserve"> </v>
      </c>
      <c r="K26" s="14" t="str">
        <f>IF(ISBLANK($B26)," ",VLOOKUP($B26,'Liste des aliments'!$C$6:$W$966,7,FALSE))</f>
        <v xml:space="preserve"> </v>
      </c>
      <c r="L26" s="12" t="str">
        <f>IF(ISBLANK($B26)," ",VLOOKUP($B26,'Liste des aliments'!$C$6:$W$966,9,FALSE))</f>
        <v xml:space="preserve"> </v>
      </c>
      <c r="M26" s="12" t="str">
        <f>IF(ISBLANK($B26)," ",VLOOKUP($B26,'Liste des aliments'!$C$6:$W$966,10,FALSE))</f>
        <v xml:space="preserve"> </v>
      </c>
      <c r="N26" s="12" t="str">
        <f>IF(ISBLANK($B26)," ",VLOOKUP($B26,'Liste des aliments'!$C$6:$W$966,11,FALSE))</f>
        <v xml:space="preserve"> </v>
      </c>
      <c r="O26" s="13" t="str">
        <f>IF(ISBLANK($B26)," ",VLOOKUP($B26,'Liste des aliments'!$C$6:$W$966,12,FALSE))</f>
        <v xml:space="preserve"> </v>
      </c>
      <c r="P26" s="13" t="str">
        <f>IF(ISBLANK($B26)," ",VLOOKUP($B26,'Liste des aliments'!$C$6:$W$966,13,FALSE))</f>
        <v xml:space="preserve"> </v>
      </c>
      <c r="Q26" s="12" t="str">
        <f>IF(ISBLANK($B26)," ",VLOOKUP($B26,'Liste des aliments'!$C$6:$W$966,14,FALSE))</f>
        <v xml:space="preserve"> </v>
      </c>
      <c r="R26" s="12" t="str">
        <f>IF(ISBLANK($B26)," ",VLOOKUP($B26,'Liste des aliments'!$C$6:$W$966,15,FALSE))</f>
        <v xml:space="preserve"> </v>
      </c>
      <c r="S26" s="12" t="str">
        <f>IF(ISBLANK($B26)," ",VLOOKUP($B26,'Liste des aliments'!$C$6:$W$966,16,FALSE))</f>
        <v xml:space="preserve"> </v>
      </c>
      <c r="T26" s="12" t="str">
        <f>IF(ISBLANK($B26)," ",VLOOKUP($B26,'Liste des aliments'!$C$6:$W$966,17,FALSE))</f>
        <v xml:space="preserve"> </v>
      </c>
      <c r="U26" s="12" t="str">
        <f>IF(ISBLANK($B26)," ",VLOOKUP($B26,'Liste des aliments'!$C$6:$W$966,18,FALSE))</f>
        <v xml:space="preserve"> </v>
      </c>
      <c r="V26" s="12" t="str">
        <f>IF(ISBLANK($B26)," ",VLOOKUP($B26,'Liste des aliments'!$C$6:$W$966,20,FALSE))</f>
        <v xml:space="preserve"> </v>
      </c>
      <c r="W26" s="107"/>
    </row>
    <row r="27" spans="1:26">
      <c r="A27" s="133"/>
      <c r="B27" s="137"/>
      <c r="C27" s="89" t="str">
        <f>IF(ISBLANK(B27),"",INDEX('Liste des aliments'!$B$6:$B$966,MATCH(B27,'Liste des aliments'!$C$6:$C$966,0)))</f>
        <v/>
      </c>
      <c r="D27" s="138"/>
      <c r="E27" s="139"/>
      <c r="F27" s="13" t="str">
        <f>IF(ISBLANK($B27)," ",VLOOKUP($B27,'Liste des aliments'!$C$6:$W$966,2,FALSE))</f>
        <v xml:space="preserve"> </v>
      </c>
      <c r="G27" s="14" t="str">
        <f t="shared" si="2"/>
        <v xml:space="preserve"> </v>
      </c>
      <c r="H27" s="12" t="str">
        <f>IF(ISBLANK($B27)," ",VLOOKUP($B27,'Liste des aliments'!$C$6:$W$966,3,FALSE))</f>
        <v xml:space="preserve"> </v>
      </c>
      <c r="I27" s="12" t="str">
        <f>IF(ISBLANK($B27)," ",VLOOKUP($B27,'Liste des aliments'!$C$6:$W$966,5,FALSE))</f>
        <v xml:space="preserve"> </v>
      </c>
      <c r="J27" s="12" t="str">
        <f>IF(ISBLANK($B27)," ",VLOOKUP($B27,'Liste des aliments'!$C$6:$W$966,6,FALSE))</f>
        <v xml:space="preserve"> </v>
      </c>
      <c r="K27" s="14" t="str">
        <f>IF(ISBLANK($B27)," ",VLOOKUP($B27,'Liste des aliments'!$C$6:$W$966,7,FALSE))</f>
        <v xml:space="preserve"> </v>
      </c>
      <c r="L27" s="12" t="str">
        <f>IF(ISBLANK($B27)," ",VLOOKUP($B27,'Liste des aliments'!$C$6:$W$966,9,FALSE))</f>
        <v xml:space="preserve"> </v>
      </c>
      <c r="M27" s="12" t="str">
        <f>IF(ISBLANK($B27)," ",VLOOKUP($B27,'Liste des aliments'!$C$6:$W$966,10,FALSE))</f>
        <v xml:space="preserve"> </v>
      </c>
      <c r="N27" s="12" t="str">
        <f>IF(ISBLANK($B27)," ",VLOOKUP($B27,'Liste des aliments'!$C$6:$W$966,11,FALSE))</f>
        <v xml:space="preserve"> </v>
      </c>
      <c r="O27" s="13" t="str">
        <f>IF(ISBLANK($B27)," ",VLOOKUP($B27,'Liste des aliments'!$C$6:$W$966,12,FALSE))</f>
        <v xml:space="preserve"> </v>
      </c>
      <c r="P27" s="13" t="str">
        <f>IF(ISBLANK($B27)," ",VLOOKUP($B27,'Liste des aliments'!$C$6:$W$966,13,FALSE))</f>
        <v xml:space="preserve"> </v>
      </c>
      <c r="Q27" s="12" t="str">
        <f>IF(ISBLANK($B27)," ",VLOOKUP($B27,'Liste des aliments'!$C$6:$W$966,14,FALSE))</f>
        <v xml:space="preserve"> </v>
      </c>
      <c r="R27" s="12" t="str">
        <f>IF(ISBLANK($B27)," ",VLOOKUP($B27,'Liste des aliments'!$C$6:$W$966,15,FALSE))</f>
        <v xml:space="preserve"> </v>
      </c>
      <c r="S27" s="12" t="str">
        <f>IF(ISBLANK($B27)," ",VLOOKUP($B27,'Liste des aliments'!$C$6:$W$966,16,FALSE))</f>
        <v xml:space="preserve"> </v>
      </c>
      <c r="T27" s="12" t="str">
        <f>IF(ISBLANK($B27)," ",VLOOKUP($B27,'Liste des aliments'!$C$6:$W$966,17,FALSE))</f>
        <v xml:space="preserve"> </v>
      </c>
      <c r="U27" s="12" t="str">
        <f>IF(ISBLANK($B27)," ",VLOOKUP($B27,'Liste des aliments'!$C$6:$W$966,18,FALSE))</f>
        <v xml:space="preserve"> </v>
      </c>
      <c r="V27" s="12" t="str">
        <f>IF(ISBLANK($B27)," ",VLOOKUP($B27,'Liste des aliments'!$C$6:$W$966,20,FALSE))</f>
        <v xml:space="preserve"> </v>
      </c>
      <c r="W27" s="107"/>
    </row>
    <row r="28" spans="1:26">
      <c r="A28" s="133"/>
      <c r="B28" s="137"/>
      <c r="C28" s="89" t="str">
        <f>IF(ISBLANK(B28),"",INDEX('Liste des aliments'!$B$6:$B$966,MATCH(B28,'Liste des aliments'!$C$6:$C$966,0)))</f>
        <v/>
      </c>
      <c r="D28" s="138"/>
      <c r="E28" s="139"/>
      <c r="F28" s="13" t="str">
        <f>IF(ISBLANK($B28)," ",VLOOKUP($B28,'Liste des aliments'!$C$6:$W$966,2,FALSE))</f>
        <v xml:space="preserve"> </v>
      </c>
      <c r="G28" s="14" t="str">
        <f t="shared" si="2"/>
        <v xml:space="preserve"> </v>
      </c>
      <c r="H28" s="12" t="str">
        <f>IF(ISBLANK($B28)," ",VLOOKUP($B28,'Liste des aliments'!$C$6:$W$966,3,FALSE))</f>
        <v xml:space="preserve"> </v>
      </c>
      <c r="I28" s="12" t="str">
        <f>IF(ISBLANK($B28)," ",VLOOKUP($B28,'Liste des aliments'!$C$6:$W$966,5,FALSE))</f>
        <v xml:space="preserve"> </v>
      </c>
      <c r="J28" s="12" t="str">
        <f>IF(ISBLANK($B28)," ",VLOOKUP($B28,'Liste des aliments'!$C$6:$W$966,6,FALSE))</f>
        <v xml:space="preserve"> </v>
      </c>
      <c r="K28" s="14" t="str">
        <f>IF(ISBLANK($B28)," ",VLOOKUP($B28,'Liste des aliments'!$C$6:$W$966,7,FALSE))</f>
        <v xml:space="preserve"> </v>
      </c>
      <c r="L28" s="12" t="str">
        <f>IF(ISBLANK($B28)," ",VLOOKUP($B28,'Liste des aliments'!$C$6:$W$966,9,FALSE))</f>
        <v xml:space="preserve"> </v>
      </c>
      <c r="M28" s="12" t="str">
        <f>IF(ISBLANK($B28)," ",VLOOKUP($B28,'Liste des aliments'!$C$6:$W$966,10,FALSE))</f>
        <v xml:space="preserve"> </v>
      </c>
      <c r="N28" s="12" t="str">
        <f>IF(ISBLANK($B28)," ",VLOOKUP($B28,'Liste des aliments'!$C$6:$W$966,11,FALSE))</f>
        <v xml:space="preserve"> </v>
      </c>
      <c r="O28" s="13" t="str">
        <f>IF(ISBLANK($B28)," ",VLOOKUP($B28,'Liste des aliments'!$C$6:$W$966,12,FALSE))</f>
        <v xml:space="preserve"> </v>
      </c>
      <c r="P28" s="13" t="str">
        <f>IF(ISBLANK($B28)," ",VLOOKUP($B28,'Liste des aliments'!$C$6:$W$966,13,FALSE))</f>
        <v xml:space="preserve"> </v>
      </c>
      <c r="Q28" s="12" t="str">
        <f>IF(ISBLANK($B28)," ",VLOOKUP($B28,'Liste des aliments'!$C$6:$W$966,14,FALSE))</f>
        <v xml:space="preserve"> </v>
      </c>
      <c r="R28" s="12" t="str">
        <f>IF(ISBLANK($B28)," ",VLOOKUP($B28,'Liste des aliments'!$C$6:$W$966,15,FALSE))</f>
        <v xml:space="preserve"> </v>
      </c>
      <c r="S28" s="12" t="str">
        <f>IF(ISBLANK($B28)," ",VLOOKUP($B28,'Liste des aliments'!$C$6:$W$966,16,FALSE))</f>
        <v xml:space="preserve"> </v>
      </c>
      <c r="T28" s="12" t="str">
        <f>IF(ISBLANK($B28)," ",VLOOKUP($B28,'Liste des aliments'!$C$6:$W$966,17,FALSE))</f>
        <v xml:space="preserve"> </v>
      </c>
      <c r="U28" s="12" t="str">
        <f>IF(ISBLANK($B28)," ",VLOOKUP($B28,'Liste des aliments'!$C$6:$W$966,18,FALSE))</f>
        <v xml:space="preserve"> </v>
      </c>
      <c r="V28" s="12" t="str">
        <f>IF(ISBLANK($B28)," ",VLOOKUP($B28,'Liste des aliments'!$C$6:$W$966,20,FALSE))</f>
        <v xml:space="preserve"> </v>
      </c>
      <c r="W28" s="107"/>
    </row>
    <row r="29" spans="1:26">
      <c r="A29" s="133"/>
      <c r="B29" s="137"/>
      <c r="C29" s="89" t="str">
        <f>IF(ISBLANK(B29),"",INDEX('Liste des aliments'!$B$6:$B$966,MATCH(B29,'Liste des aliments'!$C$6:$C$966,0)))</f>
        <v/>
      </c>
      <c r="D29" s="138"/>
      <c r="E29" s="139"/>
      <c r="F29" s="13" t="str">
        <f>IF(ISBLANK($B29)," ",VLOOKUP($B29,'Liste des aliments'!$C$6:$W$966,2,FALSE))</f>
        <v xml:space="preserve"> </v>
      </c>
      <c r="G29" s="14" t="str">
        <f t="shared" si="2"/>
        <v xml:space="preserve"> </v>
      </c>
      <c r="H29" s="12" t="str">
        <f>IF(ISBLANK($B29)," ",VLOOKUP($B29,'Liste des aliments'!$C$6:$W$966,3,FALSE))</f>
        <v xml:space="preserve"> </v>
      </c>
      <c r="I29" s="12" t="str">
        <f>IF(ISBLANK($B29)," ",VLOOKUP($B29,'Liste des aliments'!$C$6:$W$966,5,FALSE))</f>
        <v xml:space="preserve"> </v>
      </c>
      <c r="J29" s="12" t="str">
        <f>IF(ISBLANK($B29)," ",VLOOKUP($B29,'Liste des aliments'!$C$6:$W$966,6,FALSE))</f>
        <v xml:space="preserve"> </v>
      </c>
      <c r="K29" s="14" t="str">
        <f>IF(ISBLANK($B29)," ",VLOOKUP($B29,'Liste des aliments'!$C$6:$W$966,7,FALSE))</f>
        <v xml:space="preserve"> </v>
      </c>
      <c r="L29" s="12" t="str">
        <f>IF(ISBLANK($B29)," ",VLOOKUP($B29,'Liste des aliments'!$C$6:$W$966,9,FALSE))</f>
        <v xml:space="preserve"> </v>
      </c>
      <c r="M29" s="12" t="str">
        <f>IF(ISBLANK($B29)," ",VLOOKUP($B29,'Liste des aliments'!$C$6:$W$966,10,FALSE))</f>
        <v xml:space="preserve"> </v>
      </c>
      <c r="N29" s="12" t="str">
        <f>IF(ISBLANK($B29)," ",VLOOKUP($B29,'Liste des aliments'!$C$6:$W$966,11,FALSE))</f>
        <v xml:space="preserve"> </v>
      </c>
      <c r="O29" s="13" t="str">
        <f>IF(ISBLANK($B29)," ",VLOOKUP($B29,'Liste des aliments'!$C$6:$W$966,12,FALSE))</f>
        <v xml:space="preserve"> </v>
      </c>
      <c r="P29" s="13" t="str">
        <f>IF(ISBLANK($B29)," ",VLOOKUP($B29,'Liste des aliments'!$C$6:$W$966,13,FALSE))</f>
        <v xml:space="preserve"> </v>
      </c>
      <c r="Q29" s="12" t="str">
        <f>IF(ISBLANK($B29)," ",VLOOKUP($B29,'Liste des aliments'!$C$6:$W$966,14,FALSE))</f>
        <v xml:space="preserve"> </v>
      </c>
      <c r="R29" s="12" t="str">
        <f>IF(ISBLANK($B29)," ",VLOOKUP($B29,'Liste des aliments'!$C$6:$W$966,15,FALSE))</f>
        <v xml:space="preserve"> </v>
      </c>
      <c r="S29" s="12" t="str">
        <f>IF(ISBLANK($B29)," ",VLOOKUP($B29,'Liste des aliments'!$C$6:$W$966,16,FALSE))</f>
        <v xml:space="preserve"> </v>
      </c>
      <c r="T29" s="12" t="str">
        <f>IF(ISBLANK($B29)," ",VLOOKUP($B29,'Liste des aliments'!$C$6:$W$966,17,FALSE))</f>
        <v xml:space="preserve"> </v>
      </c>
      <c r="U29" s="12" t="str">
        <f>IF(ISBLANK($B29)," ",VLOOKUP($B29,'Liste des aliments'!$C$6:$W$966,18,FALSE))</f>
        <v xml:space="preserve"> </v>
      </c>
      <c r="V29" s="12" t="str">
        <f>IF(ISBLANK($B29)," ",VLOOKUP($B29,'Liste des aliments'!$C$6:$W$966,20,FALSE))</f>
        <v xml:space="preserve"> </v>
      </c>
      <c r="W29" s="107"/>
    </row>
    <row r="30" spans="1:26">
      <c r="A30" s="133"/>
      <c r="B30" s="137"/>
      <c r="C30" s="89" t="str">
        <f>IF(ISBLANK(B30),"",INDEX('Liste des aliments'!$B$6:$B$966,MATCH(B30,'Liste des aliments'!$C$6:$C$966,0)))</f>
        <v/>
      </c>
      <c r="D30" s="138"/>
      <c r="E30" s="139"/>
      <c r="F30" s="13" t="str">
        <f>IF(ISBLANK($B30)," ",VLOOKUP($B30,'Liste des aliments'!$C$6:$W$966,2,FALSE))</f>
        <v xml:space="preserve"> </v>
      </c>
      <c r="G30" s="14" t="str">
        <f t="shared" si="2"/>
        <v xml:space="preserve"> </v>
      </c>
      <c r="H30" s="12" t="str">
        <f>IF(ISBLANK($B30)," ",VLOOKUP($B30,'Liste des aliments'!$C$6:$W$966,3,FALSE))</f>
        <v xml:space="preserve"> </v>
      </c>
      <c r="I30" s="12" t="str">
        <f>IF(ISBLANK($B30)," ",VLOOKUP($B30,'Liste des aliments'!$C$6:$W$966,5,FALSE))</f>
        <v xml:space="preserve"> </v>
      </c>
      <c r="J30" s="12" t="str">
        <f>IF(ISBLANK($B30)," ",VLOOKUP($B30,'Liste des aliments'!$C$6:$W$966,6,FALSE))</f>
        <v xml:space="preserve"> </v>
      </c>
      <c r="K30" s="14" t="str">
        <f>IF(ISBLANK($B30)," ",VLOOKUP($B30,'Liste des aliments'!$C$6:$W$966,7,FALSE))</f>
        <v xml:space="preserve"> </v>
      </c>
      <c r="L30" s="12" t="str">
        <f>IF(ISBLANK($B30)," ",VLOOKUP($B30,'Liste des aliments'!$C$6:$W$966,9,FALSE))</f>
        <v xml:space="preserve"> </v>
      </c>
      <c r="M30" s="12" t="str">
        <f>IF(ISBLANK($B30)," ",VLOOKUP($B30,'Liste des aliments'!$C$6:$W$966,10,FALSE))</f>
        <v xml:space="preserve"> </v>
      </c>
      <c r="N30" s="12" t="str">
        <f>IF(ISBLANK($B30)," ",VLOOKUP($B30,'Liste des aliments'!$C$6:$W$966,11,FALSE))</f>
        <v xml:space="preserve"> </v>
      </c>
      <c r="O30" s="13" t="str">
        <f>IF(ISBLANK($B30)," ",VLOOKUP($B30,'Liste des aliments'!$C$6:$W$966,12,FALSE))</f>
        <v xml:space="preserve"> </v>
      </c>
      <c r="P30" s="13" t="str">
        <f>IF(ISBLANK($B30)," ",VLOOKUP($B30,'Liste des aliments'!$C$6:$W$966,13,FALSE))</f>
        <v xml:space="preserve"> </v>
      </c>
      <c r="Q30" s="12" t="str">
        <f>IF(ISBLANK($B30)," ",VLOOKUP($B30,'Liste des aliments'!$C$6:$W$966,14,FALSE))</f>
        <v xml:space="preserve"> </v>
      </c>
      <c r="R30" s="12" t="str">
        <f>IF(ISBLANK($B30)," ",VLOOKUP($B30,'Liste des aliments'!$C$6:$W$966,15,FALSE))</f>
        <v xml:space="preserve"> </v>
      </c>
      <c r="S30" s="12" t="str">
        <f>IF(ISBLANK($B30)," ",VLOOKUP($B30,'Liste des aliments'!$C$6:$W$966,16,FALSE))</f>
        <v xml:space="preserve"> </v>
      </c>
      <c r="T30" s="12" t="str">
        <f>IF(ISBLANK($B30)," ",VLOOKUP($B30,'Liste des aliments'!$C$6:$W$966,17,FALSE))</f>
        <v xml:space="preserve"> </v>
      </c>
      <c r="U30" s="12" t="str">
        <f>IF(ISBLANK($B30)," ",VLOOKUP($B30,'Liste des aliments'!$C$6:$W$966,18,FALSE))</f>
        <v xml:space="preserve"> </v>
      </c>
      <c r="V30" s="12" t="str">
        <f>IF(ISBLANK($B30)," ",VLOOKUP($B30,'Liste des aliments'!$C$6:$W$966,20,FALSE))</f>
        <v xml:space="preserve"> </v>
      </c>
      <c r="W30" s="107"/>
    </row>
    <row r="31" spans="1:26">
      <c r="A31" s="133"/>
      <c r="B31" s="137"/>
      <c r="C31" s="89" t="str">
        <f>IF(ISBLANK(B31),"",INDEX('Liste des aliments'!$B$6:$B$966,MATCH(B31,'Liste des aliments'!$C$6:$C$966,0)))</f>
        <v/>
      </c>
      <c r="D31" s="138"/>
      <c r="E31" s="139"/>
      <c r="F31" s="13" t="str">
        <f>IF(ISBLANK($B31)," ",VLOOKUP($B31,'Liste des aliments'!$C$6:$W$966,2,FALSE))</f>
        <v xml:space="preserve"> </v>
      </c>
      <c r="G31" s="14" t="str">
        <f t="shared" si="2"/>
        <v xml:space="preserve"> </v>
      </c>
      <c r="H31" s="12" t="str">
        <f>IF(ISBLANK($B31)," ",VLOOKUP($B31,'Liste des aliments'!$C$6:$W$966,3,FALSE))</f>
        <v xml:space="preserve"> </v>
      </c>
      <c r="I31" s="12" t="str">
        <f>IF(ISBLANK($B31)," ",VLOOKUP($B31,'Liste des aliments'!$C$6:$W$966,5,FALSE))</f>
        <v xml:space="preserve"> </v>
      </c>
      <c r="J31" s="12" t="str">
        <f>IF(ISBLANK($B31)," ",VLOOKUP($B31,'Liste des aliments'!$C$6:$W$966,6,FALSE))</f>
        <v xml:space="preserve"> </v>
      </c>
      <c r="K31" s="14" t="str">
        <f>IF(ISBLANK($B31)," ",VLOOKUP($B31,'Liste des aliments'!$C$6:$W$966,7,FALSE))</f>
        <v xml:space="preserve"> </v>
      </c>
      <c r="L31" s="12" t="str">
        <f>IF(ISBLANK($B31)," ",VLOOKUP($B31,'Liste des aliments'!$C$6:$W$966,9,FALSE))</f>
        <v xml:space="preserve"> </v>
      </c>
      <c r="M31" s="12" t="str">
        <f>IF(ISBLANK($B31)," ",VLOOKUP($B31,'Liste des aliments'!$C$6:$W$966,10,FALSE))</f>
        <v xml:space="preserve"> </v>
      </c>
      <c r="N31" s="12" t="str">
        <f>IF(ISBLANK($B31)," ",VLOOKUP($B31,'Liste des aliments'!$C$6:$W$966,11,FALSE))</f>
        <v xml:space="preserve"> </v>
      </c>
      <c r="O31" s="13" t="str">
        <f>IF(ISBLANK($B31)," ",VLOOKUP($B31,'Liste des aliments'!$C$6:$W$966,12,FALSE))</f>
        <v xml:space="preserve"> </v>
      </c>
      <c r="P31" s="13" t="str">
        <f>IF(ISBLANK($B31)," ",VLOOKUP($B31,'Liste des aliments'!$C$6:$W$966,13,FALSE))</f>
        <v xml:space="preserve"> </v>
      </c>
      <c r="Q31" s="12" t="str">
        <f>IF(ISBLANK($B31)," ",VLOOKUP($B31,'Liste des aliments'!$C$6:$W$966,14,FALSE))</f>
        <v xml:space="preserve"> </v>
      </c>
      <c r="R31" s="12" t="str">
        <f>IF(ISBLANK($B31)," ",VLOOKUP($B31,'Liste des aliments'!$C$6:$W$966,15,FALSE))</f>
        <v xml:space="preserve"> </v>
      </c>
      <c r="S31" s="12" t="str">
        <f>IF(ISBLANK($B31)," ",VLOOKUP($B31,'Liste des aliments'!$C$6:$W$966,16,FALSE))</f>
        <v xml:space="preserve"> </v>
      </c>
      <c r="T31" s="12" t="str">
        <f>IF(ISBLANK($B31)," ",VLOOKUP($B31,'Liste des aliments'!$C$6:$W$966,17,FALSE))</f>
        <v xml:space="preserve"> </v>
      </c>
      <c r="U31" s="12" t="str">
        <f>IF(ISBLANK($B31)," ",VLOOKUP($B31,'Liste des aliments'!$C$6:$W$966,18,FALSE))</f>
        <v xml:space="preserve"> </v>
      </c>
      <c r="V31" s="12" t="str">
        <f>IF(ISBLANK($B31)," ",VLOOKUP($B31,'Liste des aliments'!$C$6:$W$966,20,FALSE))</f>
        <v xml:space="preserve"> </v>
      </c>
      <c r="W31" s="107"/>
    </row>
    <row r="32" spans="1:26">
      <c r="A32" s="133"/>
      <c r="B32" s="137"/>
      <c r="C32" s="89" t="str">
        <f>IF(ISBLANK(B32),"",INDEX('Liste des aliments'!$B$6:$B$966,MATCH(B32,'Liste des aliments'!$C$6:$C$966,0)))</f>
        <v/>
      </c>
      <c r="D32" s="138"/>
      <c r="E32" s="139"/>
      <c r="F32" s="13" t="str">
        <f>IF(ISBLANK($B32)," ",VLOOKUP($B32,'Liste des aliments'!$C$6:$W$966,2,FALSE))</f>
        <v xml:space="preserve"> </v>
      </c>
      <c r="G32" s="14" t="str">
        <f t="shared" si="2"/>
        <v xml:space="preserve"> </v>
      </c>
      <c r="H32" s="12" t="str">
        <f>IF(ISBLANK($B32)," ",VLOOKUP($B32,'Liste des aliments'!$C$6:$W$966,3,FALSE))</f>
        <v xml:space="preserve"> </v>
      </c>
      <c r="I32" s="12" t="str">
        <f>IF(ISBLANK($B32)," ",VLOOKUP($B32,'Liste des aliments'!$C$6:$W$966,5,FALSE))</f>
        <v xml:space="preserve"> </v>
      </c>
      <c r="J32" s="12" t="str">
        <f>IF(ISBLANK($B32)," ",VLOOKUP($B32,'Liste des aliments'!$C$6:$W$966,6,FALSE))</f>
        <v xml:space="preserve"> </v>
      </c>
      <c r="K32" s="14" t="str">
        <f>IF(ISBLANK($B32)," ",VLOOKUP($B32,'Liste des aliments'!$C$6:$W$966,7,FALSE))</f>
        <v xml:space="preserve"> </v>
      </c>
      <c r="L32" s="12" t="str">
        <f>IF(ISBLANK($B32)," ",VLOOKUP($B32,'Liste des aliments'!$C$6:$W$966,9,FALSE))</f>
        <v xml:space="preserve"> </v>
      </c>
      <c r="M32" s="12" t="str">
        <f>IF(ISBLANK($B32)," ",VLOOKUP($B32,'Liste des aliments'!$C$6:$W$966,10,FALSE))</f>
        <v xml:space="preserve"> </v>
      </c>
      <c r="N32" s="12" t="str">
        <f>IF(ISBLANK($B32)," ",VLOOKUP($B32,'Liste des aliments'!$C$6:$W$966,11,FALSE))</f>
        <v xml:space="preserve"> </v>
      </c>
      <c r="O32" s="13" t="str">
        <f>IF(ISBLANK($B32)," ",VLOOKUP($B32,'Liste des aliments'!$C$6:$W$966,12,FALSE))</f>
        <v xml:space="preserve"> </v>
      </c>
      <c r="P32" s="13" t="str">
        <f>IF(ISBLANK($B32)," ",VLOOKUP($B32,'Liste des aliments'!$C$6:$W$966,13,FALSE))</f>
        <v xml:space="preserve"> </v>
      </c>
      <c r="Q32" s="12" t="str">
        <f>IF(ISBLANK($B32)," ",VLOOKUP($B32,'Liste des aliments'!$C$6:$W$966,14,FALSE))</f>
        <v xml:space="preserve"> </v>
      </c>
      <c r="R32" s="12" t="str">
        <f>IF(ISBLANK($B32)," ",VLOOKUP($B32,'Liste des aliments'!$C$6:$W$966,15,FALSE))</f>
        <v xml:space="preserve"> </v>
      </c>
      <c r="S32" s="12" t="str">
        <f>IF(ISBLANK($B32)," ",VLOOKUP($B32,'Liste des aliments'!$C$6:$W$966,16,FALSE))</f>
        <v xml:space="preserve"> </v>
      </c>
      <c r="T32" s="12" t="str">
        <f>IF(ISBLANK($B32)," ",VLOOKUP($B32,'Liste des aliments'!$C$6:$W$966,17,FALSE))</f>
        <v xml:space="preserve"> </v>
      </c>
      <c r="U32" s="12" t="str">
        <f>IF(ISBLANK($B32)," ",VLOOKUP($B32,'Liste des aliments'!$C$6:$W$966,18,FALSE))</f>
        <v xml:space="preserve"> </v>
      </c>
      <c r="V32" s="12" t="str">
        <f>IF(ISBLANK($B32)," ",VLOOKUP($B32,'Liste des aliments'!$C$6:$W$966,20,FALSE))</f>
        <v xml:space="preserve"> </v>
      </c>
      <c r="W32" s="107"/>
    </row>
    <row r="33" spans="1:23">
      <c r="A33" s="133"/>
      <c r="B33" s="137"/>
      <c r="C33" s="89" t="str">
        <f>IF(ISBLANK(B33),"",INDEX('Liste des aliments'!$B$6:$B$966,MATCH(B33,'Liste des aliments'!$C$6:$C$966,0)))</f>
        <v/>
      </c>
      <c r="D33" s="138"/>
      <c r="E33" s="139"/>
      <c r="F33" s="13" t="str">
        <f>IF(ISBLANK($B33)," ",VLOOKUP($B33,'Liste des aliments'!$C$6:$W$966,2,FALSE))</f>
        <v xml:space="preserve"> </v>
      </c>
      <c r="G33" s="14" t="str">
        <f t="shared" si="2"/>
        <v xml:space="preserve"> </v>
      </c>
      <c r="H33" s="12" t="str">
        <f>IF(ISBLANK($B33)," ",VLOOKUP($B33,'Liste des aliments'!$C$6:$W$966,3,FALSE))</f>
        <v xml:space="preserve"> </v>
      </c>
      <c r="I33" s="12" t="str">
        <f>IF(ISBLANK($B33)," ",VLOOKUP($B33,'Liste des aliments'!$C$6:$W$966,5,FALSE))</f>
        <v xml:space="preserve"> </v>
      </c>
      <c r="J33" s="12" t="str">
        <f>IF(ISBLANK($B33)," ",VLOOKUP($B33,'Liste des aliments'!$C$6:$W$966,6,FALSE))</f>
        <v xml:space="preserve"> </v>
      </c>
      <c r="K33" s="14" t="str">
        <f>IF(ISBLANK($B33)," ",VLOOKUP($B33,'Liste des aliments'!$C$6:$W$966,7,FALSE))</f>
        <v xml:space="preserve"> </v>
      </c>
      <c r="L33" s="12" t="str">
        <f>IF(ISBLANK($B33)," ",VLOOKUP($B33,'Liste des aliments'!$C$6:$W$966,9,FALSE))</f>
        <v xml:space="preserve"> </v>
      </c>
      <c r="M33" s="12" t="str">
        <f>IF(ISBLANK($B33)," ",VLOOKUP($B33,'Liste des aliments'!$C$6:$W$966,10,FALSE))</f>
        <v xml:space="preserve"> </v>
      </c>
      <c r="N33" s="12" t="str">
        <f>IF(ISBLANK($B33)," ",VLOOKUP($B33,'Liste des aliments'!$C$6:$W$966,11,FALSE))</f>
        <v xml:space="preserve"> </v>
      </c>
      <c r="O33" s="13" t="str">
        <f>IF(ISBLANK($B33)," ",VLOOKUP($B33,'Liste des aliments'!$C$6:$W$966,12,FALSE))</f>
        <v xml:space="preserve"> </v>
      </c>
      <c r="P33" s="13" t="str">
        <f>IF(ISBLANK($B33)," ",VLOOKUP($B33,'Liste des aliments'!$C$6:$W$966,13,FALSE))</f>
        <v xml:space="preserve"> </v>
      </c>
      <c r="Q33" s="12" t="str">
        <f>IF(ISBLANK($B33)," ",VLOOKUP($B33,'Liste des aliments'!$C$6:$W$966,14,FALSE))</f>
        <v xml:space="preserve"> </v>
      </c>
      <c r="R33" s="12" t="str">
        <f>IF(ISBLANK($B33)," ",VLOOKUP($B33,'Liste des aliments'!$C$6:$W$966,15,FALSE))</f>
        <v xml:space="preserve"> </v>
      </c>
      <c r="S33" s="12" t="str">
        <f>IF(ISBLANK($B33)," ",VLOOKUP($B33,'Liste des aliments'!$C$6:$W$966,16,FALSE))</f>
        <v xml:space="preserve"> </v>
      </c>
      <c r="T33" s="12" t="str">
        <f>IF(ISBLANK($B33)," ",VLOOKUP($B33,'Liste des aliments'!$C$6:$W$966,17,FALSE))</f>
        <v xml:space="preserve"> </v>
      </c>
      <c r="U33" s="12" t="str">
        <f>IF(ISBLANK($B33)," ",VLOOKUP($B33,'Liste des aliments'!$C$6:$W$966,18,FALSE))</f>
        <v xml:space="preserve"> </v>
      </c>
      <c r="V33" s="12" t="str">
        <f>IF(ISBLANK($B33)," ",VLOOKUP($B33,'Liste des aliments'!$C$6:$W$966,20,FALSE))</f>
        <v xml:space="preserve"> </v>
      </c>
      <c r="W33" s="107"/>
    </row>
    <row r="34" spans="1:23">
      <c r="A34" s="133"/>
      <c r="B34" s="137"/>
      <c r="C34" s="89" t="str">
        <f>IF(ISBLANK(B34),"",INDEX('Liste des aliments'!$B$6:$B$966,MATCH(B34,'Liste des aliments'!$C$6:$C$966,0)))</f>
        <v/>
      </c>
      <c r="D34" s="138"/>
      <c r="E34" s="139"/>
      <c r="F34" s="13" t="str">
        <f>IF(ISBLANK($B34)," ",VLOOKUP($B34,'Liste des aliments'!$C$6:$W$966,2,FALSE))</f>
        <v xml:space="preserve"> </v>
      </c>
      <c r="G34" s="14" t="str">
        <f t="shared" si="2"/>
        <v xml:space="preserve"> </v>
      </c>
      <c r="H34" s="12" t="str">
        <f>IF(ISBLANK($B34)," ",VLOOKUP($B34,'Liste des aliments'!$C$6:$W$966,3,FALSE))</f>
        <v xml:space="preserve"> </v>
      </c>
      <c r="I34" s="12" t="str">
        <f>IF(ISBLANK($B34)," ",VLOOKUP($B34,'Liste des aliments'!$C$6:$W$966,5,FALSE))</f>
        <v xml:space="preserve"> </v>
      </c>
      <c r="J34" s="12" t="str">
        <f>IF(ISBLANK($B34)," ",VLOOKUP($B34,'Liste des aliments'!$C$6:$W$966,6,FALSE))</f>
        <v xml:space="preserve"> </v>
      </c>
      <c r="K34" s="14" t="str">
        <f>IF(ISBLANK($B34)," ",VLOOKUP($B34,'Liste des aliments'!$C$6:$W$966,7,FALSE))</f>
        <v xml:space="preserve"> </v>
      </c>
      <c r="L34" s="12" t="str">
        <f>IF(ISBLANK($B34)," ",VLOOKUP($B34,'Liste des aliments'!$C$6:$W$966,9,FALSE))</f>
        <v xml:space="preserve"> </v>
      </c>
      <c r="M34" s="12" t="str">
        <f>IF(ISBLANK($B34)," ",VLOOKUP($B34,'Liste des aliments'!$C$6:$W$966,10,FALSE))</f>
        <v xml:space="preserve"> </v>
      </c>
      <c r="N34" s="12" t="str">
        <f>IF(ISBLANK($B34)," ",VLOOKUP($B34,'Liste des aliments'!$C$6:$W$966,11,FALSE))</f>
        <v xml:space="preserve"> </v>
      </c>
      <c r="O34" s="13" t="str">
        <f>IF(ISBLANK($B34)," ",VLOOKUP($B34,'Liste des aliments'!$C$6:$W$966,12,FALSE))</f>
        <v xml:space="preserve"> </v>
      </c>
      <c r="P34" s="13" t="str">
        <f>IF(ISBLANK($B34)," ",VLOOKUP($B34,'Liste des aliments'!$C$6:$W$966,13,FALSE))</f>
        <v xml:space="preserve"> </v>
      </c>
      <c r="Q34" s="12" t="str">
        <f>IF(ISBLANK($B34)," ",VLOOKUP($B34,'Liste des aliments'!$C$6:$W$966,14,FALSE))</f>
        <v xml:space="preserve"> </v>
      </c>
      <c r="R34" s="12" t="str">
        <f>IF(ISBLANK($B34)," ",VLOOKUP($B34,'Liste des aliments'!$C$6:$W$966,15,FALSE))</f>
        <v xml:space="preserve"> </v>
      </c>
      <c r="S34" s="12" t="str">
        <f>IF(ISBLANK($B34)," ",VLOOKUP($B34,'Liste des aliments'!$C$6:$W$966,16,FALSE))</f>
        <v xml:space="preserve"> </v>
      </c>
      <c r="T34" s="12" t="str">
        <f>IF(ISBLANK($B34)," ",VLOOKUP($B34,'Liste des aliments'!$C$6:$W$966,17,FALSE))</f>
        <v xml:space="preserve"> </v>
      </c>
      <c r="U34" s="12" t="str">
        <f>IF(ISBLANK($B34)," ",VLOOKUP($B34,'Liste des aliments'!$C$6:$W$966,18,FALSE))</f>
        <v xml:space="preserve"> </v>
      </c>
      <c r="V34" s="12" t="str">
        <f>IF(ISBLANK($B34)," ",VLOOKUP($B34,'Liste des aliments'!$C$6:$W$966,20,FALSE))</f>
        <v xml:space="preserve"> </v>
      </c>
      <c r="W34" s="107"/>
    </row>
    <row r="35" spans="1:23" ht="14.4" thickBot="1">
      <c r="A35" s="133"/>
      <c r="B35" s="142"/>
      <c r="C35" s="15" t="str">
        <f>IF(ISBLANK(B35),"",INDEX('Liste des aliments'!$B$6:$B$966,MATCH(B35,'Liste des aliments'!$C$6:$C$966,0)))</f>
        <v/>
      </c>
      <c r="D35" s="143"/>
      <c r="E35" s="143"/>
      <c r="F35" s="3" t="str">
        <f>IF(ISBLANK($B35)," ",VLOOKUP($B35,'Liste des aliments'!$C$6:$W$966,2,FALSE))</f>
        <v xml:space="preserve"> </v>
      </c>
      <c r="G35" s="10" t="str">
        <f t="shared" si="2"/>
        <v xml:space="preserve"> </v>
      </c>
      <c r="H35" s="4" t="str">
        <f>IF(ISBLANK($B35)," ",VLOOKUP($B35,'Liste des aliments'!$C$6:$W$966,3,FALSE))</f>
        <v xml:space="preserve"> </v>
      </c>
      <c r="I35" s="4" t="str">
        <f>IF(ISBLANK($B35)," ",VLOOKUP($B35,'Liste des aliments'!$C$6:$W$966,5,FALSE))</f>
        <v xml:space="preserve"> </v>
      </c>
      <c r="J35" s="4" t="str">
        <f>IF(ISBLANK($B35)," ",VLOOKUP($B35,'Liste des aliments'!$C$6:$W$966,6,FALSE))</f>
        <v xml:space="preserve"> </v>
      </c>
      <c r="K35" s="10" t="str">
        <f>IF(ISBLANK($B35)," ",VLOOKUP($B35,'Liste des aliments'!$C$6:$W$966,7,FALSE))</f>
        <v xml:space="preserve"> </v>
      </c>
      <c r="L35" s="4" t="str">
        <f>IF(ISBLANK($B35)," ",VLOOKUP($B35,'Liste des aliments'!$C$6:$W$966,9,FALSE))</f>
        <v xml:space="preserve"> </v>
      </c>
      <c r="M35" s="4" t="str">
        <f>IF(ISBLANK($B35)," ",VLOOKUP($B35,'Liste des aliments'!$C$6:$W$966,10,FALSE))</f>
        <v xml:space="preserve"> </v>
      </c>
      <c r="N35" s="4" t="str">
        <f>IF(ISBLANK($B35)," ",VLOOKUP($B35,'Liste des aliments'!$C$6:$W$966,11,FALSE))</f>
        <v xml:space="preserve"> </v>
      </c>
      <c r="O35" s="3" t="str">
        <f>IF(ISBLANK($B35)," ",VLOOKUP($B35,'Liste des aliments'!$C$6:$W$966,12,FALSE))</f>
        <v xml:space="preserve"> </v>
      </c>
      <c r="P35" s="3" t="str">
        <f>IF(ISBLANK($B35)," ",VLOOKUP($B35,'Liste des aliments'!$C$6:$W$966,13,FALSE))</f>
        <v xml:space="preserve"> </v>
      </c>
      <c r="Q35" s="4" t="str">
        <f>IF(ISBLANK($B35)," ",VLOOKUP($B35,'Liste des aliments'!$C$6:$W$966,14,FALSE))</f>
        <v xml:space="preserve"> </v>
      </c>
      <c r="R35" s="4" t="str">
        <f>IF(ISBLANK($B35)," ",VLOOKUP($B35,'Liste des aliments'!$C$6:$W$966,15,FALSE))</f>
        <v xml:space="preserve"> </v>
      </c>
      <c r="S35" s="4" t="str">
        <f>IF(ISBLANK($B35)," ",VLOOKUP($B35,'Liste des aliments'!$C$6:$W$966,16,FALSE))</f>
        <v xml:space="preserve"> </v>
      </c>
      <c r="T35" s="4" t="str">
        <f>IF(ISBLANK($B35)," ",VLOOKUP($B35,'Liste des aliments'!$C$6:$W$966,17,FALSE))</f>
        <v xml:space="preserve"> </v>
      </c>
      <c r="U35" s="4" t="str">
        <f>IF(ISBLANK($B35)," ",VLOOKUP($B35,'Liste des aliments'!$C$6:$W$966,18,FALSE))</f>
        <v xml:space="preserve"> </v>
      </c>
      <c r="V35" s="4" t="str">
        <f>IF(ISBLANK($B35)," ",VLOOKUP($B35,'Liste des aliments'!$C$6:$W$966,20,FALSE))</f>
        <v xml:space="preserve"> </v>
      </c>
      <c r="W35" s="108"/>
    </row>
    <row r="37" spans="1:23" ht="16.2" thickBot="1">
      <c r="B37" s="11" t="s">
        <v>195</v>
      </c>
      <c r="C37" s="1"/>
      <c r="D37" s="1"/>
      <c r="E37" s="1"/>
      <c r="F37" s="1"/>
      <c r="G37" s="1"/>
      <c r="H37" s="1"/>
      <c r="I37" s="1"/>
      <c r="J37" s="1"/>
      <c r="K37" s="1"/>
      <c r="L37" s="1"/>
      <c r="M37" s="1"/>
      <c r="N37" s="1"/>
      <c r="O37" s="1"/>
      <c r="P37" s="1"/>
      <c r="Q37" s="1"/>
      <c r="R37" s="776" t="s">
        <v>196</v>
      </c>
      <c r="S37" s="776"/>
      <c r="T37" s="776"/>
      <c r="U37" s="776"/>
      <c r="V37" s="43"/>
      <c r="W37" s="1"/>
    </row>
    <row r="38" spans="1:23" ht="14.4" thickBot="1">
      <c r="A38" s="145"/>
      <c r="B38" s="1"/>
      <c r="C38" s="1"/>
      <c r="D38" s="59" t="s">
        <v>188</v>
      </c>
      <c r="E38" s="60" t="s">
        <v>197</v>
      </c>
      <c r="F38" s="60"/>
      <c r="G38" s="60" t="s">
        <v>191</v>
      </c>
      <c r="H38" s="60" t="s">
        <v>42</v>
      </c>
      <c r="I38" s="60" t="s">
        <v>44</v>
      </c>
      <c r="J38" s="60" t="s">
        <v>45</v>
      </c>
      <c r="K38" s="60" t="s">
        <v>46</v>
      </c>
      <c r="L38" s="60" t="s">
        <v>48</v>
      </c>
      <c r="M38" s="60" t="s">
        <v>49</v>
      </c>
      <c r="N38" s="60" t="s">
        <v>50</v>
      </c>
      <c r="O38" s="60" t="s">
        <v>51</v>
      </c>
      <c r="P38" s="60" t="s">
        <v>52</v>
      </c>
      <c r="Q38" s="60" t="s">
        <v>192</v>
      </c>
      <c r="R38" s="61" t="s">
        <v>54</v>
      </c>
      <c r="S38" s="61" t="s">
        <v>198</v>
      </c>
      <c r="T38" s="61" t="s">
        <v>56</v>
      </c>
      <c r="U38" s="61" t="s">
        <v>57</v>
      </c>
      <c r="V38" s="61" t="s">
        <v>59</v>
      </c>
      <c r="W38" s="62" t="s">
        <v>194</v>
      </c>
    </row>
    <row r="39" spans="1:23" ht="18" customHeight="1">
      <c r="B39" s="93" t="s">
        <v>199</v>
      </c>
      <c r="C39" s="94"/>
      <c r="D39" s="63">
        <f>SUM(D20:D35)</f>
        <v>0</v>
      </c>
      <c r="E39" s="248" t="e">
        <f>G39/D39*100</f>
        <v>#DIV/0!</v>
      </c>
      <c r="F39" s="16"/>
      <c r="G39" s="56">
        <f>SUM(G20:G35)</f>
        <v>0</v>
      </c>
      <c r="H39" s="57" t="e">
        <f>H76</f>
        <v>#VALUE!</v>
      </c>
      <c r="I39" s="57">
        <f>I76</f>
        <v>0</v>
      </c>
      <c r="J39" s="57">
        <f t="shared" ref="J39:V39" si="3">J76</f>
        <v>0</v>
      </c>
      <c r="K39" s="57">
        <f t="shared" si="3"/>
        <v>0</v>
      </c>
      <c r="L39" s="57">
        <f t="shared" si="3"/>
        <v>0</v>
      </c>
      <c r="M39" s="57">
        <f t="shared" si="3"/>
        <v>0</v>
      </c>
      <c r="N39" s="57">
        <f t="shared" si="3"/>
        <v>0</v>
      </c>
      <c r="O39" s="57">
        <f t="shared" si="3"/>
        <v>0</v>
      </c>
      <c r="P39" s="57">
        <f t="shared" si="3"/>
        <v>0</v>
      </c>
      <c r="Q39" s="57">
        <f t="shared" si="3"/>
        <v>0</v>
      </c>
      <c r="R39" s="76">
        <f t="shared" si="3"/>
        <v>0</v>
      </c>
      <c r="S39" s="76">
        <f t="shared" si="3"/>
        <v>0</v>
      </c>
      <c r="T39" s="76">
        <f t="shared" si="3"/>
        <v>0</v>
      </c>
      <c r="U39" s="76">
        <f t="shared" si="3"/>
        <v>0</v>
      </c>
      <c r="V39" s="76">
        <f t="shared" si="3"/>
        <v>0</v>
      </c>
      <c r="W39" s="249">
        <f>W76</f>
        <v>0</v>
      </c>
    </row>
    <row r="40" spans="1:23" ht="18" customHeight="1">
      <c r="B40" s="95" t="s">
        <v>200</v>
      </c>
      <c r="C40" s="96"/>
      <c r="D40" s="44"/>
      <c r="E40" s="44"/>
      <c r="F40" s="44"/>
      <c r="G40" s="56">
        <v>1</v>
      </c>
      <c r="H40" s="57" t="e">
        <f>H39/$G$39</f>
        <v>#VALUE!</v>
      </c>
      <c r="I40" s="57" t="e">
        <f t="shared" ref="I40:W40" si="4">I39/$G$39</f>
        <v>#DIV/0!</v>
      </c>
      <c r="J40" s="57" t="e">
        <f t="shared" si="4"/>
        <v>#DIV/0!</v>
      </c>
      <c r="K40" s="58" t="e">
        <f t="shared" si="4"/>
        <v>#DIV/0!</v>
      </c>
      <c r="L40" s="57" t="e">
        <f t="shared" si="4"/>
        <v>#DIV/0!</v>
      </c>
      <c r="M40" s="57" t="e">
        <f t="shared" si="4"/>
        <v>#DIV/0!</v>
      </c>
      <c r="N40" s="57" t="e">
        <f t="shared" si="4"/>
        <v>#DIV/0!</v>
      </c>
      <c r="O40" s="56" t="e">
        <f t="shared" si="4"/>
        <v>#DIV/0!</v>
      </c>
      <c r="P40" s="56" t="e">
        <f t="shared" si="4"/>
        <v>#DIV/0!</v>
      </c>
      <c r="Q40" s="57" t="e">
        <f t="shared" si="4"/>
        <v>#DIV/0!</v>
      </c>
      <c r="R40" s="75" t="e">
        <f t="shared" si="4"/>
        <v>#DIV/0!</v>
      </c>
      <c r="S40" s="75" t="e">
        <f t="shared" si="4"/>
        <v>#DIV/0!</v>
      </c>
      <c r="T40" s="75" t="e">
        <f t="shared" si="4"/>
        <v>#DIV/0!</v>
      </c>
      <c r="U40" s="75" t="e">
        <f t="shared" si="4"/>
        <v>#DIV/0!</v>
      </c>
      <c r="V40" s="75" t="e">
        <f t="shared" si="4"/>
        <v>#DIV/0!</v>
      </c>
      <c r="W40" s="250" t="e">
        <f t="shared" si="4"/>
        <v>#DIV/0!</v>
      </c>
    </row>
    <row r="41" spans="1:23" ht="18" customHeight="1">
      <c r="B41" s="251" t="s">
        <v>201</v>
      </c>
      <c r="C41" s="252"/>
      <c r="D41" s="253"/>
      <c r="E41" s="253"/>
      <c r="F41" s="253"/>
      <c r="G41" s="253"/>
      <c r="H41" s="254" t="e">
        <f>(H39-I10-I12)/Q57</f>
        <v>#VALUE!</v>
      </c>
      <c r="I41" s="254">
        <f>(I39-(J10+J12))/Q54</f>
        <v>-2.3135874260372895</v>
      </c>
      <c r="J41" s="253"/>
      <c r="K41" s="254">
        <f>(K39-(N10+N12))/Q56</f>
        <v>-12.99998468351693</v>
      </c>
      <c r="L41" s="254">
        <f>(L39-(O10+O12))/Q55</f>
        <v>-8.1305751756694455</v>
      </c>
      <c r="M41" s="254">
        <f>(M39-(P10+P12))/Q55</f>
        <v>-8.1305751756694455</v>
      </c>
      <c r="N41" s="253"/>
      <c r="O41" s="254">
        <f>(O39-L10)/3</f>
        <v>-10.833333333333334</v>
      </c>
      <c r="P41" s="254">
        <f>(P39-M10)/2</f>
        <v>-9.75</v>
      </c>
      <c r="Q41" s="253"/>
      <c r="R41" s="255"/>
      <c r="S41" s="255"/>
      <c r="T41" s="255"/>
      <c r="U41" s="255"/>
      <c r="V41" s="255"/>
      <c r="W41" s="256" t="e">
        <f>W39/AVERAGE(MIN(H41:I41),MIN(K41:M41))</f>
        <v>#VALUE!</v>
      </c>
    </row>
    <row r="42" spans="1:23" ht="18" customHeight="1" thickBot="1">
      <c r="A42" s="147"/>
      <c r="B42" s="257" t="s">
        <v>202</v>
      </c>
      <c r="C42" s="258"/>
      <c r="D42" s="259"/>
      <c r="E42" s="259"/>
      <c r="F42" s="259"/>
      <c r="G42" s="259"/>
      <c r="H42" s="260" t="e">
        <f>(H39-I10-I12)/P57</f>
        <v>#VALUE!</v>
      </c>
      <c r="I42" s="260">
        <f>(I39-J10-J12)/P54</f>
        <v>-2.1702704859171789</v>
      </c>
      <c r="J42" s="260"/>
      <c r="K42" s="260">
        <f>(K39-N10-N12)/P56</f>
        <v>-12.810664518222994</v>
      </c>
      <c r="L42" s="260">
        <f>(L39-O10-O12)/P55</f>
        <v>-7.6659708799169071</v>
      </c>
      <c r="M42" s="260">
        <f>(M39-P10-P12)/P55</f>
        <v>-7.6659708799169071</v>
      </c>
      <c r="N42" s="261"/>
      <c r="O42" s="261"/>
      <c r="P42" s="261"/>
      <c r="Q42" s="259"/>
      <c r="R42" s="262"/>
      <c r="S42" s="262"/>
      <c r="T42" s="262"/>
      <c r="U42" s="262"/>
      <c r="V42" s="262"/>
      <c r="W42" s="263" t="e">
        <f>W39/AVERAGE(MIN(H42:I42),MIN(K42:M42))</f>
        <v>#VALUE!</v>
      </c>
    </row>
    <row r="43" spans="1:23" ht="9.9" customHeight="1">
      <c r="Q43" s="148"/>
      <c r="R43" s="149"/>
      <c r="S43" s="149"/>
      <c r="T43" s="149"/>
      <c r="U43" s="149"/>
      <c r="V43" s="149"/>
    </row>
    <row r="44" spans="1:23">
      <c r="H44" s="150"/>
      <c r="I44" s="150"/>
      <c r="J44" s="150"/>
      <c r="K44" s="150"/>
      <c r="L44" s="150"/>
      <c r="Q44" s="151" t="s">
        <v>203</v>
      </c>
      <c r="R44" s="152">
        <v>150</v>
      </c>
      <c r="S44" s="152">
        <v>180</v>
      </c>
      <c r="T44" s="152">
        <v>350</v>
      </c>
      <c r="U44" s="153">
        <v>210</v>
      </c>
      <c r="V44" s="154"/>
    </row>
    <row r="45" spans="1:23">
      <c r="H45" s="155"/>
      <c r="I45" s="156"/>
      <c r="J45" s="156"/>
      <c r="K45" s="156"/>
      <c r="L45" s="156"/>
      <c r="Q45" s="157" t="s">
        <v>204</v>
      </c>
      <c r="R45" s="158">
        <v>220</v>
      </c>
      <c r="S45" s="158"/>
      <c r="T45" s="158">
        <v>420</v>
      </c>
      <c r="U45" s="159"/>
      <c r="V45" s="160">
        <v>40</v>
      </c>
    </row>
    <row r="47" spans="1:23">
      <c r="B47" s="774" t="s">
        <v>205</v>
      </c>
      <c r="C47" s="774"/>
    </row>
    <row r="48" spans="1:23">
      <c r="B48" s="274" t="s">
        <v>206</v>
      </c>
      <c r="C48" s="275"/>
    </row>
    <row r="49" spans="1:23">
      <c r="B49" s="274" t="s">
        <v>207</v>
      </c>
      <c r="C49" s="276"/>
    </row>
    <row r="50" spans="1:23">
      <c r="B50" s="274" t="s">
        <v>208</v>
      </c>
      <c r="C50" s="277"/>
    </row>
    <row r="52" spans="1:23">
      <c r="O52" s="116" t="s">
        <v>209</v>
      </c>
      <c r="P52" s="116"/>
      <c r="Q52" s="116"/>
    </row>
    <row r="53" spans="1:23" ht="15.6">
      <c r="A53" s="165" t="s">
        <v>210</v>
      </c>
      <c r="B53" s="166"/>
      <c r="C53" s="166"/>
      <c r="D53" s="167" t="s">
        <v>169</v>
      </c>
      <c r="E53" s="167" t="s">
        <v>42</v>
      </c>
      <c r="F53" s="167" t="s">
        <v>44</v>
      </c>
      <c r="G53" s="167" t="s">
        <v>171</v>
      </c>
      <c r="H53" s="167" t="s">
        <v>51</v>
      </c>
      <c r="I53" s="167" t="s">
        <v>211</v>
      </c>
      <c r="J53" s="167" t="s">
        <v>46</v>
      </c>
      <c r="K53" s="167" t="s">
        <v>48</v>
      </c>
      <c r="L53" s="168" t="s">
        <v>49</v>
      </c>
      <c r="O53" s="169"/>
      <c r="P53" s="170" t="s">
        <v>212</v>
      </c>
      <c r="Q53" s="171" t="s">
        <v>213</v>
      </c>
    </row>
    <row r="54" spans="1:23">
      <c r="A54" s="172"/>
      <c r="B54" s="173" t="s">
        <v>214</v>
      </c>
      <c r="C54" s="173"/>
      <c r="D54" s="174">
        <f>G39/H13</f>
        <v>0</v>
      </c>
      <c r="E54" s="174" t="e">
        <f>H39/I13</f>
        <v>#VALUE!</v>
      </c>
      <c r="F54" s="174">
        <f>I39/J13</f>
        <v>0</v>
      </c>
      <c r="G54" s="174">
        <f>J39/K13</f>
        <v>0</v>
      </c>
      <c r="H54" s="174">
        <f>O39/L13</f>
        <v>0</v>
      </c>
      <c r="I54" s="174">
        <f>P39/M13</f>
        <v>0</v>
      </c>
      <c r="J54" s="174">
        <f>K39/N13</f>
        <v>0</v>
      </c>
      <c r="K54" s="174">
        <f>L39/O13</f>
        <v>0</v>
      </c>
      <c r="L54" s="175">
        <f>M39/P13</f>
        <v>0</v>
      </c>
      <c r="O54" s="176" t="s">
        <v>44</v>
      </c>
      <c r="P54" s="177">
        <f>((1.396*(D10*D12*10)+(0.000195*(D10*D12*10)^2)))/D10</f>
        <v>54.831874999999997</v>
      </c>
      <c r="Q54" s="178">
        <f>((1.396*(33*D15)+(0.000195*(33*D15)^2)))/D15</f>
        <v>51.435272624999996</v>
      </c>
      <c r="S54" s="116" t="s">
        <v>215</v>
      </c>
    </row>
    <row r="55" spans="1:23">
      <c r="A55" s="172"/>
      <c r="B55" s="173" t="s">
        <v>216</v>
      </c>
      <c r="C55" s="173"/>
      <c r="D55" s="174"/>
      <c r="E55" s="179" t="e">
        <f>H42</f>
        <v>#VALUE!</v>
      </c>
      <c r="F55" s="179">
        <f>I42</f>
        <v>-2.1702704859171789</v>
      </c>
      <c r="G55" s="179"/>
      <c r="H55" s="179"/>
      <c r="I55" s="179"/>
      <c r="J55" s="179">
        <f>K42</f>
        <v>-12.810664518222994</v>
      </c>
      <c r="K55" s="179">
        <f>L42</f>
        <v>-7.6659708799169071</v>
      </c>
      <c r="L55" s="180">
        <f>M42</f>
        <v>-7.6659708799169071</v>
      </c>
      <c r="O55" s="176" t="s">
        <v>217</v>
      </c>
      <c r="P55" s="177">
        <f>((D10*D12*10)/S55)/D10</f>
        <v>54.575938573845548</v>
      </c>
      <c r="Q55" s="178">
        <f>33/S55</f>
        <v>51.457313512482948</v>
      </c>
      <c r="S55" s="181">
        <f>0.00001*D15^2-0.0032*D15+0.7158</f>
        <v>0.64130825624999999</v>
      </c>
    </row>
    <row r="56" spans="1:23">
      <c r="A56" s="182"/>
      <c r="B56" s="183" t="s">
        <v>218</v>
      </c>
      <c r="C56" s="183"/>
      <c r="D56" s="183"/>
      <c r="E56" s="184" t="e">
        <f>H41</f>
        <v>#VALUE!</v>
      </c>
      <c r="F56" s="184">
        <f>I41</f>
        <v>-2.3135874260372895</v>
      </c>
      <c r="G56" s="184"/>
      <c r="H56" s="184">
        <f>O41</f>
        <v>-10.833333333333334</v>
      </c>
      <c r="I56" s="184">
        <f>P41</f>
        <v>-9.75</v>
      </c>
      <c r="J56" s="184">
        <f>K41</f>
        <v>-12.99998468351693</v>
      </c>
      <c r="K56" s="184">
        <f>L41</f>
        <v>-8.1305751756694455</v>
      </c>
      <c r="L56" s="185">
        <f>M41</f>
        <v>-8.1305751756694455</v>
      </c>
      <c r="O56" s="176" t="s">
        <v>46</v>
      </c>
      <c r="P56" s="186">
        <f>(0.44+(0.0055*((D11*10)-40)))+(0.0033*((D12*10)-31))</f>
        <v>0.45319999999999999</v>
      </c>
      <c r="Q56" s="187">
        <f>0.44+(0.0033*((33-31)))</f>
        <v>0.4466</v>
      </c>
    </row>
    <row r="57" spans="1:23">
      <c r="A57" s="173"/>
      <c r="B57" s="173" t="s">
        <v>219</v>
      </c>
      <c r="C57" s="173"/>
      <c r="D57" s="173"/>
      <c r="E57" s="188">
        <v>0.3</v>
      </c>
      <c r="F57" s="188">
        <v>0.3</v>
      </c>
      <c r="G57" s="188">
        <v>0.3</v>
      </c>
      <c r="H57" s="188">
        <v>0.3</v>
      </c>
      <c r="I57" s="188">
        <v>0.3</v>
      </c>
      <c r="J57" s="188">
        <v>0.3</v>
      </c>
      <c r="K57" s="188">
        <v>0.3</v>
      </c>
      <c r="L57" s="188">
        <v>0.3</v>
      </c>
      <c r="O57" s="176" t="s">
        <v>42</v>
      </c>
      <c r="P57" s="177">
        <f>I11/D10</f>
        <v>454.4379866325001</v>
      </c>
      <c r="Q57" s="189">
        <f>442*(0.337+0.116*4+0.06*3.3)*(1+(D15-15)*0.00165)</f>
        <v>449.04406394250003</v>
      </c>
    </row>
    <row r="58" spans="1:23">
      <c r="E58" s="190">
        <v>1</v>
      </c>
      <c r="F58" s="190">
        <v>1</v>
      </c>
      <c r="G58" s="190">
        <v>1</v>
      </c>
      <c r="H58" s="190">
        <v>1</v>
      </c>
      <c r="I58" s="190">
        <v>1</v>
      </c>
      <c r="J58" s="190">
        <v>1</v>
      </c>
      <c r="K58" s="190">
        <v>1</v>
      </c>
      <c r="L58" s="190">
        <v>1</v>
      </c>
    </row>
    <row r="59" spans="1:23" ht="26.4">
      <c r="A59" s="191"/>
      <c r="B59" s="192" t="s">
        <v>40</v>
      </c>
      <c r="C59" s="193" t="s">
        <v>187</v>
      </c>
      <c r="D59" s="193" t="s">
        <v>188</v>
      </c>
      <c r="E59" s="193" t="s">
        <v>220</v>
      </c>
      <c r="F59" s="193" t="s">
        <v>190</v>
      </c>
      <c r="G59" s="193" t="s">
        <v>191</v>
      </c>
      <c r="H59" s="193" t="s">
        <v>42</v>
      </c>
      <c r="I59" s="193" t="s">
        <v>44</v>
      </c>
      <c r="J59" s="193" t="s">
        <v>45</v>
      </c>
      <c r="K59" s="193" t="s">
        <v>46</v>
      </c>
      <c r="L59" s="193" t="s">
        <v>48</v>
      </c>
      <c r="M59" s="193" t="s">
        <v>49</v>
      </c>
      <c r="N59" s="193" t="s">
        <v>50</v>
      </c>
      <c r="O59" s="193" t="s">
        <v>51</v>
      </c>
      <c r="P59" s="193" t="s">
        <v>52</v>
      </c>
      <c r="Q59" s="193" t="s">
        <v>53</v>
      </c>
      <c r="R59" s="193" t="s">
        <v>54</v>
      </c>
      <c r="S59" s="193" t="s">
        <v>193</v>
      </c>
      <c r="T59" s="193" t="s">
        <v>56</v>
      </c>
      <c r="U59" s="193" t="s">
        <v>57</v>
      </c>
      <c r="V59" s="193" t="s">
        <v>59</v>
      </c>
      <c r="W59" s="194" t="s">
        <v>221</v>
      </c>
    </row>
    <row r="60" spans="1:23">
      <c r="A60" s="195"/>
      <c r="B60" s="196">
        <f t="shared" ref="B60:G69" si="5">B20</f>
        <v>0</v>
      </c>
      <c r="C60" s="200" t="str">
        <f>C20</f>
        <v/>
      </c>
      <c r="D60" s="199">
        <f>D20</f>
        <v>0</v>
      </c>
      <c r="E60" s="197">
        <f t="shared" si="5"/>
        <v>0</v>
      </c>
      <c r="F60" s="198" t="str">
        <f>F20</f>
        <v xml:space="preserve"> </v>
      </c>
      <c r="G60" s="199" t="str">
        <f t="shared" si="5"/>
        <v xml:space="preserve"> </v>
      </c>
      <c r="H60" s="200" t="e">
        <f>IF(ISBLANK($B60)," ",(IF($C60="F",H20*$G20,(H20/($F20/100))*$G20)))</f>
        <v>#VALUE!</v>
      </c>
      <c r="I60" s="200" t="str">
        <f t="shared" ref="I60:W60" si="6">IF($B60&gt;0,(IF($C60="F",I20*$G20,(I20/($F20/100))*$G20))," ")</f>
        <v xml:space="preserve"> </v>
      </c>
      <c r="J60" s="200" t="str">
        <f t="shared" si="6"/>
        <v xml:space="preserve"> </v>
      </c>
      <c r="K60" s="199" t="str">
        <f t="shared" si="6"/>
        <v xml:space="preserve"> </v>
      </c>
      <c r="L60" s="200" t="str">
        <f t="shared" si="6"/>
        <v xml:space="preserve"> </v>
      </c>
      <c r="M60" s="200" t="str">
        <f t="shared" si="6"/>
        <v xml:space="preserve"> </v>
      </c>
      <c r="N60" s="200" t="str">
        <f t="shared" si="6"/>
        <v xml:space="preserve"> </v>
      </c>
      <c r="O60" s="200" t="str">
        <f t="shared" si="6"/>
        <v xml:space="preserve"> </v>
      </c>
      <c r="P60" s="200" t="str">
        <f t="shared" si="6"/>
        <v xml:space="preserve"> </v>
      </c>
      <c r="Q60" s="200" t="str">
        <f t="shared" si="6"/>
        <v xml:space="preserve"> </v>
      </c>
      <c r="R60" s="200" t="str">
        <f t="shared" si="6"/>
        <v xml:space="preserve"> </v>
      </c>
      <c r="S60" s="200" t="str">
        <f t="shared" si="6"/>
        <v xml:space="preserve"> </v>
      </c>
      <c r="T60" s="200" t="str">
        <f t="shared" si="6"/>
        <v xml:space="preserve"> </v>
      </c>
      <c r="U60" s="200" t="str">
        <f t="shared" si="6"/>
        <v xml:space="preserve"> </v>
      </c>
      <c r="V60" s="200" t="str">
        <f t="shared" si="6"/>
        <v xml:space="preserve"> </v>
      </c>
      <c r="W60" s="201" t="str">
        <f t="shared" si="6"/>
        <v xml:space="preserve"> </v>
      </c>
    </row>
    <row r="61" spans="1:23">
      <c r="A61" s="195"/>
      <c r="B61" s="202">
        <f t="shared" si="5"/>
        <v>0</v>
      </c>
      <c r="C61" s="197" t="str">
        <f t="shared" si="5"/>
        <v/>
      </c>
      <c r="D61" s="197">
        <f t="shared" si="5"/>
        <v>0</v>
      </c>
      <c r="E61" s="197">
        <f t="shared" si="5"/>
        <v>0</v>
      </c>
      <c r="F61" s="198" t="str">
        <f t="shared" si="5"/>
        <v xml:space="preserve"> </v>
      </c>
      <c r="G61" s="199" t="str">
        <f t="shared" si="5"/>
        <v xml:space="preserve"> </v>
      </c>
      <c r="H61" s="200" t="str">
        <f t="shared" ref="H61:H75" si="7">IF($B61&gt;0,(IF($C61="F",H21*$G21,(H21/($F21/100))*$G21))," ")</f>
        <v xml:space="preserve"> </v>
      </c>
      <c r="I61" s="200" t="str">
        <f t="shared" ref="I61:W61" si="8">IF($B61&gt;0,(IF($C61="F",I21*$G21,(I21/($F21/100))*$G21))," ")</f>
        <v xml:space="preserve"> </v>
      </c>
      <c r="J61" s="200" t="str">
        <f t="shared" si="8"/>
        <v xml:space="preserve"> </v>
      </c>
      <c r="K61" s="199" t="str">
        <f t="shared" si="8"/>
        <v xml:space="preserve"> </v>
      </c>
      <c r="L61" s="200" t="str">
        <f t="shared" si="8"/>
        <v xml:space="preserve"> </v>
      </c>
      <c r="M61" s="200" t="str">
        <f t="shared" si="8"/>
        <v xml:space="preserve"> </v>
      </c>
      <c r="N61" s="200" t="str">
        <f t="shared" si="8"/>
        <v xml:space="preserve"> </v>
      </c>
      <c r="O61" s="200" t="str">
        <f t="shared" si="8"/>
        <v xml:space="preserve"> </v>
      </c>
      <c r="P61" s="200" t="str">
        <f t="shared" si="8"/>
        <v xml:space="preserve"> </v>
      </c>
      <c r="Q61" s="200" t="str">
        <f t="shared" si="8"/>
        <v xml:space="preserve"> </v>
      </c>
      <c r="R61" s="200" t="str">
        <f t="shared" si="8"/>
        <v xml:space="preserve"> </v>
      </c>
      <c r="S61" s="200" t="str">
        <f t="shared" si="8"/>
        <v xml:space="preserve"> </v>
      </c>
      <c r="T61" s="200" t="str">
        <f t="shared" si="8"/>
        <v xml:space="preserve"> </v>
      </c>
      <c r="U61" s="200" t="str">
        <f t="shared" si="8"/>
        <v xml:space="preserve"> </v>
      </c>
      <c r="V61" s="200" t="str">
        <f t="shared" si="8"/>
        <v xml:space="preserve"> </v>
      </c>
      <c r="W61" s="201" t="str">
        <f t="shared" si="8"/>
        <v xml:space="preserve"> </v>
      </c>
    </row>
    <row r="62" spans="1:23">
      <c r="A62" s="195"/>
      <c r="B62" s="202">
        <f t="shared" si="5"/>
        <v>0</v>
      </c>
      <c r="C62" s="197" t="str">
        <f t="shared" si="5"/>
        <v/>
      </c>
      <c r="D62" s="197">
        <f t="shared" si="5"/>
        <v>0</v>
      </c>
      <c r="E62" s="197">
        <f t="shared" si="5"/>
        <v>0</v>
      </c>
      <c r="F62" s="198" t="str">
        <f t="shared" si="5"/>
        <v xml:space="preserve"> </v>
      </c>
      <c r="G62" s="199" t="str">
        <f t="shared" si="5"/>
        <v xml:space="preserve"> </v>
      </c>
      <c r="H62" s="200" t="str">
        <f t="shared" si="7"/>
        <v xml:space="preserve"> </v>
      </c>
      <c r="I62" s="200" t="str">
        <f t="shared" ref="I62:W62" si="9">IF($B62&gt;0,(IF($C62="F",I22*$G22,(I22/($F22/100))*$G22))," ")</f>
        <v xml:space="preserve"> </v>
      </c>
      <c r="J62" s="200" t="str">
        <f t="shared" si="9"/>
        <v xml:space="preserve"> </v>
      </c>
      <c r="K62" s="199" t="str">
        <f t="shared" si="9"/>
        <v xml:space="preserve"> </v>
      </c>
      <c r="L62" s="200" t="str">
        <f t="shared" si="9"/>
        <v xml:space="preserve"> </v>
      </c>
      <c r="M62" s="200" t="str">
        <f t="shared" si="9"/>
        <v xml:space="preserve"> </v>
      </c>
      <c r="N62" s="200" t="str">
        <f t="shared" si="9"/>
        <v xml:space="preserve"> </v>
      </c>
      <c r="O62" s="200" t="str">
        <f t="shared" si="9"/>
        <v xml:space="preserve"> </v>
      </c>
      <c r="P62" s="200" t="str">
        <f t="shared" si="9"/>
        <v xml:space="preserve"> </v>
      </c>
      <c r="Q62" s="200" t="str">
        <f t="shared" si="9"/>
        <v xml:space="preserve"> </v>
      </c>
      <c r="R62" s="200" t="str">
        <f t="shared" si="9"/>
        <v xml:space="preserve"> </v>
      </c>
      <c r="S62" s="200" t="str">
        <f t="shared" si="9"/>
        <v xml:space="preserve"> </v>
      </c>
      <c r="T62" s="200" t="str">
        <f t="shared" si="9"/>
        <v xml:space="preserve"> </v>
      </c>
      <c r="U62" s="200" t="str">
        <f t="shared" si="9"/>
        <v xml:space="preserve"> </v>
      </c>
      <c r="V62" s="200" t="str">
        <f t="shared" si="9"/>
        <v xml:space="preserve"> </v>
      </c>
      <c r="W62" s="201" t="str">
        <f t="shared" si="9"/>
        <v xml:space="preserve"> </v>
      </c>
    </row>
    <row r="63" spans="1:23">
      <c r="A63" s="195"/>
      <c r="B63" s="202">
        <f t="shared" si="5"/>
        <v>0</v>
      </c>
      <c r="C63" s="197" t="str">
        <f t="shared" si="5"/>
        <v/>
      </c>
      <c r="D63" s="197">
        <f t="shared" si="5"/>
        <v>0</v>
      </c>
      <c r="E63" s="197">
        <f t="shared" si="5"/>
        <v>0</v>
      </c>
      <c r="F63" s="198" t="str">
        <f t="shared" si="5"/>
        <v xml:space="preserve"> </v>
      </c>
      <c r="G63" s="199" t="str">
        <f t="shared" si="5"/>
        <v xml:space="preserve"> </v>
      </c>
      <c r="H63" s="200" t="str">
        <f t="shared" si="7"/>
        <v xml:space="preserve"> </v>
      </c>
      <c r="I63" s="200" t="str">
        <f t="shared" ref="I63:W63" si="10">IF($B63&gt;0,(IF($C63="F",I23*$G23,(I23/($F23/100))*$G23))," ")</f>
        <v xml:space="preserve"> </v>
      </c>
      <c r="J63" s="200" t="str">
        <f t="shared" si="10"/>
        <v xml:space="preserve"> </v>
      </c>
      <c r="K63" s="199" t="str">
        <f t="shared" si="10"/>
        <v xml:space="preserve"> </v>
      </c>
      <c r="L63" s="200" t="str">
        <f t="shared" si="10"/>
        <v xml:space="preserve"> </v>
      </c>
      <c r="M63" s="200" t="str">
        <f t="shared" si="10"/>
        <v xml:space="preserve"> </v>
      </c>
      <c r="N63" s="200" t="str">
        <f t="shared" si="10"/>
        <v xml:space="preserve"> </v>
      </c>
      <c r="O63" s="200" t="str">
        <f t="shared" si="10"/>
        <v xml:space="preserve"> </v>
      </c>
      <c r="P63" s="200" t="str">
        <f t="shared" si="10"/>
        <v xml:space="preserve"> </v>
      </c>
      <c r="Q63" s="200" t="str">
        <f t="shared" si="10"/>
        <v xml:space="preserve"> </v>
      </c>
      <c r="R63" s="200" t="str">
        <f t="shared" si="10"/>
        <v xml:space="preserve"> </v>
      </c>
      <c r="S63" s="200" t="str">
        <f t="shared" si="10"/>
        <v xml:space="preserve"> </v>
      </c>
      <c r="T63" s="200" t="str">
        <f t="shared" si="10"/>
        <v xml:space="preserve"> </v>
      </c>
      <c r="U63" s="200" t="str">
        <f t="shared" si="10"/>
        <v xml:space="preserve"> </v>
      </c>
      <c r="V63" s="200" t="str">
        <f t="shared" si="10"/>
        <v xml:space="preserve"> </v>
      </c>
      <c r="W63" s="201" t="str">
        <f t="shared" si="10"/>
        <v xml:space="preserve"> </v>
      </c>
    </row>
    <row r="64" spans="1:23">
      <c r="A64" s="195"/>
      <c r="B64" s="202">
        <f t="shared" si="5"/>
        <v>0</v>
      </c>
      <c r="C64" s="197" t="str">
        <f t="shared" si="5"/>
        <v/>
      </c>
      <c r="D64" s="197">
        <f t="shared" si="5"/>
        <v>0</v>
      </c>
      <c r="E64" s="197">
        <f t="shared" si="5"/>
        <v>0</v>
      </c>
      <c r="F64" s="198" t="str">
        <f t="shared" si="5"/>
        <v xml:space="preserve"> </v>
      </c>
      <c r="G64" s="199" t="str">
        <f t="shared" si="5"/>
        <v xml:space="preserve"> </v>
      </c>
      <c r="H64" s="200" t="str">
        <f t="shared" si="7"/>
        <v xml:space="preserve"> </v>
      </c>
      <c r="I64" s="200" t="str">
        <f t="shared" ref="I64:W64" si="11">IF($B64&gt;0,(IF($C64="F",I24*$G24,(I24/($F24/100))*$G24))," ")</f>
        <v xml:space="preserve"> </v>
      </c>
      <c r="J64" s="200" t="str">
        <f t="shared" si="11"/>
        <v xml:space="preserve"> </v>
      </c>
      <c r="K64" s="199" t="str">
        <f t="shared" si="11"/>
        <v xml:space="preserve"> </v>
      </c>
      <c r="L64" s="200" t="str">
        <f t="shared" si="11"/>
        <v xml:space="preserve"> </v>
      </c>
      <c r="M64" s="200" t="str">
        <f t="shared" si="11"/>
        <v xml:space="preserve"> </v>
      </c>
      <c r="N64" s="200" t="str">
        <f t="shared" si="11"/>
        <v xml:space="preserve"> </v>
      </c>
      <c r="O64" s="200" t="str">
        <f t="shared" si="11"/>
        <v xml:space="preserve"> </v>
      </c>
      <c r="P64" s="200" t="str">
        <f t="shared" si="11"/>
        <v xml:space="preserve"> </v>
      </c>
      <c r="Q64" s="200" t="str">
        <f t="shared" si="11"/>
        <v xml:space="preserve"> </v>
      </c>
      <c r="R64" s="200" t="str">
        <f t="shared" si="11"/>
        <v xml:space="preserve"> </v>
      </c>
      <c r="S64" s="200" t="str">
        <f t="shared" si="11"/>
        <v xml:space="preserve"> </v>
      </c>
      <c r="T64" s="200" t="str">
        <f t="shared" si="11"/>
        <v xml:space="preserve"> </v>
      </c>
      <c r="U64" s="200" t="str">
        <f t="shared" si="11"/>
        <v xml:space="preserve"> </v>
      </c>
      <c r="V64" s="200" t="str">
        <f t="shared" si="11"/>
        <v xml:space="preserve"> </v>
      </c>
      <c r="W64" s="201" t="str">
        <f t="shared" si="11"/>
        <v xml:space="preserve"> </v>
      </c>
    </row>
    <row r="65" spans="1:23">
      <c r="A65" s="195"/>
      <c r="B65" s="202">
        <f t="shared" si="5"/>
        <v>0</v>
      </c>
      <c r="C65" s="197" t="str">
        <f t="shared" si="5"/>
        <v/>
      </c>
      <c r="D65" s="197">
        <f t="shared" si="5"/>
        <v>0</v>
      </c>
      <c r="E65" s="197">
        <f t="shared" si="5"/>
        <v>0</v>
      </c>
      <c r="F65" s="198" t="str">
        <f t="shared" si="5"/>
        <v xml:space="preserve"> </v>
      </c>
      <c r="G65" s="199" t="str">
        <f t="shared" si="5"/>
        <v xml:space="preserve"> </v>
      </c>
      <c r="H65" s="200" t="str">
        <f t="shared" si="7"/>
        <v xml:space="preserve"> </v>
      </c>
      <c r="I65" s="200" t="str">
        <f t="shared" ref="I65:W65" si="12">IF($B65&gt;0,(IF($C65="F",I25*$G25,(I25/($F25/100))*$G25))," ")</f>
        <v xml:space="preserve"> </v>
      </c>
      <c r="J65" s="200" t="str">
        <f t="shared" si="12"/>
        <v xml:space="preserve"> </v>
      </c>
      <c r="K65" s="199" t="str">
        <f t="shared" si="12"/>
        <v xml:space="preserve"> </v>
      </c>
      <c r="L65" s="200" t="str">
        <f t="shared" si="12"/>
        <v xml:space="preserve"> </v>
      </c>
      <c r="M65" s="200" t="str">
        <f t="shared" si="12"/>
        <v xml:space="preserve"> </v>
      </c>
      <c r="N65" s="200" t="str">
        <f t="shared" si="12"/>
        <v xml:space="preserve"> </v>
      </c>
      <c r="O65" s="200" t="str">
        <f t="shared" si="12"/>
        <v xml:space="preserve"> </v>
      </c>
      <c r="P65" s="200" t="str">
        <f t="shared" si="12"/>
        <v xml:space="preserve"> </v>
      </c>
      <c r="Q65" s="200" t="str">
        <f t="shared" si="12"/>
        <v xml:space="preserve"> </v>
      </c>
      <c r="R65" s="200" t="str">
        <f t="shared" si="12"/>
        <v xml:space="preserve"> </v>
      </c>
      <c r="S65" s="200" t="str">
        <f t="shared" si="12"/>
        <v xml:space="preserve"> </v>
      </c>
      <c r="T65" s="200" t="str">
        <f t="shared" si="12"/>
        <v xml:space="preserve"> </v>
      </c>
      <c r="U65" s="200" t="str">
        <f t="shared" si="12"/>
        <v xml:space="preserve"> </v>
      </c>
      <c r="V65" s="200" t="str">
        <f t="shared" si="12"/>
        <v xml:space="preserve"> </v>
      </c>
      <c r="W65" s="201" t="str">
        <f t="shared" si="12"/>
        <v xml:space="preserve"> </v>
      </c>
    </row>
    <row r="66" spans="1:23">
      <c r="A66" s="195"/>
      <c r="B66" s="202">
        <f t="shared" si="5"/>
        <v>0</v>
      </c>
      <c r="C66" s="197" t="str">
        <f t="shared" si="5"/>
        <v/>
      </c>
      <c r="D66" s="197">
        <f t="shared" si="5"/>
        <v>0</v>
      </c>
      <c r="E66" s="197">
        <f t="shared" si="5"/>
        <v>0</v>
      </c>
      <c r="F66" s="198" t="str">
        <f t="shared" si="5"/>
        <v xml:space="preserve"> </v>
      </c>
      <c r="G66" s="199" t="str">
        <f t="shared" si="5"/>
        <v xml:space="preserve"> </v>
      </c>
      <c r="H66" s="200" t="str">
        <f t="shared" si="7"/>
        <v xml:space="preserve"> </v>
      </c>
      <c r="I66" s="200" t="str">
        <f t="shared" ref="I66:W66" si="13">IF($B66&gt;0,(IF($C66="F",I26*$G26,(I26/($F26/100))*$G26))," ")</f>
        <v xml:space="preserve"> </v>
      </c>
      <c r="J66" s="200" t="str">
        <f t="shared" si="13"/>
        <v xml:space="preserve"> </v>
      </c>
      <c r="K66" s="199" t="str">
        <f t="shared" si="13"/>
        <v xml:space="preserve"> </v>
      </c>
      <c r="L66" s="200" t="str">
        <f t="shared" si="13"/>
        <v xml:space="preserve"> </v>
      </c>
      <c r="M66" s="200" t="str">
        <f t="shared" si="13"/>
        <v xml:space="preserve"> </v>
      </c>
      <c r="N66" s="200" t="str">
        <f t="shared" si="13"/>
        <v xml:space="preserve"> </v>
      </c>
      <c r="O66" s="200" t="str">
        <f t="shared" si="13"/>
        <v xml:space="preserve"> </v>
      </c>
      <c r="P66" s="200" t="str">
        <f t="shared" si="13"/>
        <v xml:space="preserve"> </v>
      </c>
      <c r="Q66" s="200" t="str">
        <f t="shared" si="13"/>
        <v xml:space="preserve"> </v>
      </c>
      <c r="R66" s="200" t="str">
        <f t="shared" si="13"/>
        <v xml:space="preserve"> </v>
      </c>
      <c r="S66" s="200" t="str">
        <f t="shared" si="13"/>
        <v xml:space="preserve"> </v>
      </c>
      <c r="T66" s="200" t="str">
        <f t="shared" si="13"/>
        <v xml:space="preserve"> </v>
      </c>
      <c r="U66" s="200" t="str">
        <f t="shared" si="13"/>
        <v xml:space="preserve"> </v>
      </c>
      <c r="V66" s="200" t="str">
        <f t="shared" si="13"/>
        <v xml:space="preserve"> </v>
      </c>
      <c r="W66" s="201" t="str">
        <f t="shared" si="13"/>
        <v xml:space="preserve"> </v>
      </c>
    </row>
    <row r="67" spans="1:23">
      <c r="A67" s="195"/>
      <c r="B67" s="202">
        <f t="shared" si="5"/>
        <v>0</v>
      </c>
      <c r="C67" s="197" t="str">
        <f t="shared" si="5"/>
        <v/>
      </c>
      <c r="D67" s="197">
        <f t="shared" si="5"/>
        <v>0</v>
      </c>
      <c r="E67" s="197">
        <f t="shared" si="5"/>
        <v>0</v>
      </c>
      <c r="F67" s="198" t="str">
        <f t="shared" si="5"/>
        <v xml:space="preserve"> </v>
      </c>
      <c r="G67" s="199" t="str">
        <f t="shared" si="5"/>
        <v xml:space="preserve"> </v>
      </c>
      <c r="H67" s="200" t="str">
        <f t="shared" si="7"/>
        <v xml:space="preserve"> </v>
      </c>
      <c r="I67" s="200" t="str">
        <f t="shared" ref="I67:W67" si="14">IF($B67&gt;0,(IF($C67="F",I27*$G27,(I27/($F27/100))*$G27))," ")</f>
        <v xml:space="preserve"> </v>
      </c>
      <c r="J67" s="200" t="str">
        <f t="shared" si="14"/>
        <v xml:space="preserve"> </v>
      </c>
      <c r="K67" s="199" t="str">
        <f t="shared" si="14"/>
        <v xml:space="preserve"> </v>
      </c>
      <c r="L67" s="200" t="str">
        <f t="shared" si="14"/>
        <v xml:space="preserve"> </v>
      </c>
      <c r="M67" s="200" t="str">
        <f t="shared" si="14"/>
        <v xml:space="preserve"> </v>
      </c>
      <c r="N67" s="200" t="str">
        <f t="shared" si="14"/>
        <v xml:space="preserve"> </v>
      </c>
      <c r="O67" s="200" t="str">
        <f t="shared" si="14"/>
        <v xml:space="preserve"> </v>
      </c>
      <c r="P67" s="200" t="str">
        <f t="shared" si="14"/>
        <v xml:space="preserve"> </v>
      </c>
      <c r="Q67" s="200" t="str">
        <f t="shared" si="14"/>
        <v xml:space="preserve"> </v>
      </c>
      <c r="R67" s="200" t="str">
        <f t="shared" si="14"/>
        <v xml:space="preserve"> </v>
      </c>
      <c r="S67" s="200" t="str">
        <f t="shared" si="14"/>
        <v xml:space="preserve"> </v>
      </c>
      <c r="T67" s="200" t="str">
        <f t="shared" si="14"/>
        <v xml:space="preserve"> </v>
      </c>
      <c r="U67" s="200" t="str">
        <f t="shared" si="14"/>
        <v xml:space="preserve"> </v>
      </c>
      <c r="V67" s="200" t="str">
        <f t="shared" si="14"/>
        <v xml:space="preserve"> </v>
      </c>
      <c r="W67" s="201" t="str">
        <f t="shared" si="14"/>
        <v xml:space="preserve"> </v>
      </c>
    </row>
    <row r="68" spans="1:23">
      <c r="A68" s="195"/>
      <c r="B68" s="202">
        <f t="shared" si="5"/>
        <v>0</v>
      </c>
      <c r="C68" s="197" t="str">
        <f t="shared" si="5"/>
        <v/>
      </c>
      <c r="D68" s="197">
        <f t="shared" si="5"/>
        <v>0</v>
      </c>
      <c r="E68" s="197">
        <f t="shared" si="5"/>
        <v>0</v>
      </c>
      <c r="F68" s="198" t="str">
        <f t="shared" si="5"/>
        <v xml:space="preserve"> </v>
      </c>
      <c r="G68" s="199" t="str">
        <f t="shared" si="5"/>
        <v xml:space="preserve"> </v>
      </c>
      <c r="H68" s="200" t="str">
        <f t="shared" si="7"/>
        <v xml:space="preserve"> </v>
      </c>
      <c r="I68" s="200" t="str">
        <f t="shared" ref="I68:W68" si="15">IF($B68&gt;0,(IF($C68="F",I28*$G28,(I28/($F28/100))*$G28))," ")</f>
        <v xml:space="preserve"> </v>
      </c>
      <c r="J68" s="200" t="str">
        <f t="shared" si="15"/>
        <v xml:space="preserve"> </v>
      </c>
      <c r="K68" s="199" t="str">
        <f t="shared" si="15"/>
        <v xml:space="preserve"> </v>
      </c>
      <c r="L68" s="200" t="str">
        <f t="shared" si="15"/>
        <v xml:space="preserve"> </v>
      </c>
      <c r="M68" s="200" t="str">
        <f t="shared" si="15"/>
        <v xml:space="preserve"> </v>
      </c>
      <c r="N68" s="200" t="str">
        <f t="shared" si="15"/>
        <v xml:space="preserve"> </v>
      </c>
      <c r="O68" s="200" t="str">
        <f t="shared" si="15"/>
        <v xml:space="preserve"> </v>
      </c>
      <c r="P68" s="200" t="str">
        <f t="shared" si="15"/>
        <v xml:space="preserve"> </v>
      </c>
      <c r="Q68" s="200" t="str">
        <f t="shared" si="15"/>
        <v xml:space="preserve"> </v>
      </c>
      <c r="R68" s="200" t="str">
        <f t="shared" si="15"/>
        <v xml:space="preserve"> </v>
      </c>
      <c r="S68" s="200" t="str">
        <f t="shared" si="15"/>
        <v xml:space="preserve"> </v>
      </c>
      <c r="T68" s="200" t="str">
        <f t="shared" si="15"/>
        <v xml:space="preserve"> </v>
      </c>
      <c r="U68" s="200" t="str">
        <f t="shared" si="15"/>
        <v xml:space="preserve"> </v>
      </c>
      <c r="V68" s="200" t="str">
        <f t="shared" si="15"/>
        <v xml:space="preserve"> </v>
      </c>
      <c r="W68" s="201" t="str">
        <f t="shared" si="15"/>
        <v xml:space="preserve"> </v>
      </c>
    </row>
    <row r="69" spans="1:23">
      <c r="A69" s="195"/>
      <c r="B69" s="202">
        <f t="shared" si="5"/>
        <v>0</v>
      </c>
      <c r="C69" s="197" t="str">
        <f t="shared" si="5"/>
        <v/>
      </c>
      <c r="D69" s="197">
        <f t="shared" si="5"/>
        <v>0</v>
      </c>
      <c r="E69" s="197">
        <f t="shared" si="5"/>
        <v>0</v>
      </c>
      <c r="F69" s="198" t="str">
        <f t="shared" si="5"/>
        <v xml:space="preserve"> </v>
      </c>
      <c r="G69" s="199" t="str">
        <f t="shared" si="5"/>
        <v xml:space="preserve"> </v>
      </c>
      <c r="H69" s="200" t="str">
        <f t="shared" si="7"/>
        <v xml:space="preserve"> </v>
      </c>
      <c r="I69" s="200" t="str">
        <f t="shared" ref="I69:W69" si="16">IF($B69&gt;0,(IF($C69="F",I29*$G29,(I29/($F29/100))*$G29))," ")</f>
        <v xml:space="preserve"> </v>
      </c>
      <c r="J69" s="200" t="str">
        <f t="shared" si="16"/>
        <v xml:space="preserve"> </v>
      </c>
      <c r="K69" s="199" t="str">
        <f t="shared" si="16"/>
        <v xml:space="preserve"> </v>
      </c>
      <c r="L69" s="200" t="str">
        <f t="shared" si="16"/>
        <v xml:space="preserve"> </v>
      </c>
      <c r="M69" s="200" t="str">
        <f t="shared" si="16"/>
        <v xml:space="preserve"> </v>
      </c>
      <c r="N69" s="200" t="str">
        <f t="shared" si="16"/>
        <v xml:space="preserve"> </v>
      </c>
      <c r="O69" s="200" t="str">
        <f t="shared" si="16"/>
        <v xml:space="preserve"> </v>
      </c>
      <c r="P69" s="200" t="str">
        <f t="shared" si="16"/>
        <v xml:space="preserve"> </v>
      </c>
      <c r="Q69" s="200" t="str">
        <f t="shared" si="16"/>
        <v xml:space="preserve"> </v>
      </c>
      <c r="R69" s="200" t="str">
        <f t="shared" si="16"/>
        <v xml:space="preserve"> </v>
      </c>
      <c r="S69" s="200" t="str">
        <f t="shared" si="16"/>
        <v xml:space="preserve"> </v>
      </c>
      <c r="T69" s="200" t="str">
        <f t="shared" si="16"/>
        <v xml:space="preserve"> </v>
      </c>
      <c r="U69" s="200" t="str">
        <f t="shared" si="16"/>
        <v xml:space="preserve"> </v>
      </c>
      <c r="V69" s="200" t="str">
        <f t="shared" si="16"/>
        <v xml:space="preserve"> </v>
      </c>
      <c r="W69" s="201" t="str">
        <f t="shared" si="16"/>
        <v xml:space="preserve"> </v>
      </c>
    </row>
    <row r="70" spans="1:23">
      <c r="A70" s="195"/>
      <c r="B70" s="202">
        <f t="shared" ref="B70:G75" si="17">B30</f>
        <v>0</v>
      </c>
      <c r="C70" s="197" t="str">
        <f t="shared" si="17"/>
        <v/>
      </c>
      <c r="D70" s="197">
        <f t="shared" si="17"/>
        <v>0</v>
      </c>
      <c r="E70" s="197">
        <f t="shared" si="17"/>
        <v>0</v>
      </c>
      <c r="F70" s="198" t="str">
        <f t="shared" si="17"/>
        <v xml:space="preserve"> </v>
      </c>
      <c r="G70" s="199" t="str">
        <f t="shared" si="17"/>
        <v xml:space="preserve"> </v>
      </c>
      <c r="H70" s="200" t="str">
        <f t="shared" si="7"/>
        <v xml:space="preserve"> </v>
      </c>
      <c r="I70" s="200" t="str">
        <f t="shared" ref="I70:W70" si="18">IF($B70&gt;0,(IF($C70="F",I30*$G30,(I30/($F30/100))*$G30))," ")</f>
        <v xml:space="preserve"> </v>
      </c>
      <c r="J70" s="200" t="str">
        <f t="shared" si="18"/>
        <v xml:space="preserve"> </v>
      </c>
      <c r="K70" s="199" t="str">
        <f t="shared" si="18"/>
        <v xml:space="preserve"> </v>
      </c>
      <c r="L70" s="200" t="str">
        <f t="shared" si="18"/>
        <v xml:space="preserve"> </v>
      </c>
      <c r="M70" s="200" t="str">
        <f t="shared" si="18"/>
        <v xml:space="preserve"> </v>
      </c>
      <c r="N70" s="200" t="str">
        <f t="shared" si="18"/>
        <v xml:space="preserve"> </v>
      </c>
      <c r="O70" s="200" t="str">
        <f t="shared" si="18"/>
        <v xml:space="preserve"> </v>
      </c>
      <c r="P70" s="200" t="str">
        <f t="shared" si="18"/>
        <v xml:space="preserve"> </v>
      </c>
      <c r="Q70" s="200" t="str">
        <f t="shared" si="18"/>
        <v xml:space="preserve"> </v>
      </c>
      <c r="R70" s="200" t="str">
        <f t="shared" si="18"/>
        <v xml:space="preserve"> </v>
      </c>
      <c r="S70" s="200" t="str">
        <f t="shared" si="18"/>
        <v xml:space="preserve"> </v>
      </c>
      <c r="T70" s="200" t="str">
        <f t="shared" si="18"/>
        <v xml:space="preserve"> </v>
      </c>
      <c r="U70" s="200" t="str">
        <f t="shared" si="18"/>
        <v xml:space="preserve"> </v>
      </c>
      <c r="V70" s="200" t="str">
        <f t="shared" si="18"/>
        <v xml:space="preserve"> </v>
      </c>
      <c r="W70" s="201" t="str">
        <f t="shared" si="18"/>
        <v xml:space="preserve"> </v>
      </c>
    </row>
    <row r="71" spans="1:23">
      <c r="A71" s="195"/>
      <c r="B71" s="202">
        <f t="shared" si="17"/>
        <v>0</v>
      </c>
      <c r="C71" s="197" t="str">
        <f t="shared" si="17"/>
        <v/>
      </c>
      <c r="D71" s="197">
        <f t="shared" si="17"/>
        <v>0</v>
      </c>
      <c r="E71" s="197">
        <f t="shared" si="17"/>
        <v>0</v>
      </c>
      <c r="F71" s="198" t="str">
        <f t="shared" si="17"/>
        <v xml:space="preserve"> </v>
      </c>
      <c r="G71" s="199" t="str">
        <f t="shared" si="17"/>
        <v xml:space="preserve"> </v>
      </c>
      <c r="H71" s="200" t="str">
        <f t="shared" si="7"/>
        <v xml:space="preserve"> </v>
      </c>
      <c r="I71" s="200" t="str">
        <f t="shared" ref="I71:W71" si="19">IF($B71&gt;0,(IF($C71="F",I31*$G31,(I31/($F31/100))*$G31))," ")</f>
        <v xml:space="preserve"> </v>
      </c>
      <c r="J71" s="200" t="str">
        <f t="shared" si="19"/>
        <v xml:space="preserve"> </v>
      </c>
      <c r="K71" s="199" t="str">
        <f t="shared" si="19"/>
        <v xml:space="preserve"> </v>
      </c>
      <c r="L71" s="200" t="str">
        <f t="shared" si="19"/>
        <v xml:space="preserve"> </v>
      </c>
      <c r="M71" s="200" t="str">
        <f t="shared" si="19"/>
        <v xml:space="preserve"> </v>
      </c>
      <c r="N71" s="200" t="str">
        <f t="shared" si="19"/>
        <v xml:space="preserve"> </v>
      </c>
      <c r="O71" s="200" t="str">
        <f t="shared" si="19"/>
        <v xml:space="preserve"> </v>
      </c>
      <c r="P71" s="200" t="str">
        <f t="shared" si="19"/>
        <v xml:space="preserve"> </v>
      </c>
      <c r="Q71" s="200" t="str">
        <f t="shared" si="19"/>
        <v xml:space="preserve"> </v>
      </c>
      <c r="R71" s="200" t="str">
        <f t="shared" si="19"/>
        <v xml:space="preserve"> </v>
      </c>
      <c r="S71" s="200" t="str">
        <f t="shared" si="19"/>
        <v xml:space="preserve"> </v>
      </c>
      <c r="T71" s="200" t="str">
        <f t="shared" si="19"/>
        <v xml:space="preserve"> </v>
      </c>
      <c r="U71" s="200" t="str">
        <f t="shared" si="19"/>
        <v xml:space="preserve"> </v>
      </c>
      <c r="V71" s="200" t="str">
        <f t="shared" si="19"/>
        <v xml:space="preserve"> </v>
      </c>
      <c r="W71" s="201" t="str">
        <f t="shared" si="19"/>
        <v xml:space="preserve"> </v>
      </c>
    </row>
    <row r="72" spans="1:23">
      <c r="A72" s="195"/>
      <c r="B72" s="202">
        <f t="shared" si="17"/>
        <v>0</v>
      </c>
      <c r="C72" s="197" t="str">
        <f t="shared" si="17"/>
        <v/>
      </c>
      <c r="D72" s="197">
        <f t="shared" si="17"/>
        <v>0</v>
      </c>
      <c r="E72" s="197">
        <f t="shared" si="17"/>
        <v>0</v>
      </c>
      <c r="F72" s="198" t="str">
        <f t="shared" si="17"/>
        <v xml:space="preserve"> </v>
      </c>
      <c r="G72" s="199" t="str">
        <f t="shared" si="17"/>
        <v xml:space="preserve"> </v>
      </c>
      <c r="H72" s="200" t="str">
        <f t="shared" si="7"/>
        <v xml:space="preserve"> </v>
      </c>
      <c r="I72" s="200" t="str">
        <f t="shared" ref="I72:W72" si="20">IF($B72&gt;0,(IF($C72="F",I32*$G32,(I32/($F32/100))*$G32))," ")</f>
        <v xml:space="preserve"> </v>
      </c>
      <c r="J72" s="200" t="str">
        <f t="shared" si="20"/>
        <v xml:space="preserve"> </v>
      </c>
      <c r="K72" s="199" t="str">
        <f t="shared" si="20"/>
        <v xml:space="preserve"> </v>
      </c>
      <c r="L72" s="200" t="str">
        <f t="shared" si="20"/>
        <v xml:space="preserve"> </v>
      </c>
      <c r="M72" s="200" t="str">
        <f t="shared" si="20"/>
        <v xml:space="preserve"> </v>
      </c>
      <c r="N72" s="200" t="str">
        <f t="shared" si="20"/>
        <v xml:space="preserve"> </v>
      </c>
      <c r="O72" s="200" t="str">
        <f t="shared" si="20"/>
        <v xml:space="preserve"> </v>
      </c>
      <c r="P72" s="200" t="str">
        <f t="shared" si="20"/>
        <v xml:space="preserve"> </v>
      </c>
      <c r="Q72" s="200" t="str">
        <f t="shared" si="20"/>
        <v xml:space="preserve"> </v>
      </c>
      <c r="R72" s="200" t="str">
        <f t="shared" si="20"/>
        <v xml:space="preserve"> </v>
      </c>
      <c r="S72" s="200" t="str">
        <f t="shared" si="20"/>
        <v xml:space="preserve"> </v>
      </c>
      <c r="T72" s="200" t="str">
        <f t="shared" si="20"/>
        <v xml:space="preserve"> </v>
      </c>
      <c r="U72" s="200" t="str">
        <f t="shared" si="20"/>
        <v xml:space="preserve"> </v>
      </c>
      <c r="V72" s="200" t="str">
        <f t="shared" si="20"/>
        <v xml:space="preserve"> </v>
      </c>
      <c r="W72" s="201" t="str">
        <f t="shared" si="20"/>
        <v xml:space="preserve"> </v>
      </c>
    </row>
    <row r="73" spans="1:23">
      <c r="A73" s="195"/>
      <c r="B73" s="202">
        <f t="shared" si="17"/>
        <v>0</v>
      </c>
      <c r="C73" s="197" t="str">
        <f t="shared" si="17"/>
        <v/>
      </c>
      <c r="D73" s="197">
        <f t="shared" si="17"/>
        <v>0</v>
      </c>
      <c r="E73" s="197">
        <f t="shared" si="17"/>
        <v>0</v>
      </c>
      <c r="F73" s="198" t="str">
        <f t="shared" si="17"/>
        <v xml:space="preserve"> </v>
      </c>
      <c r="G73" s="199" t="str">
        <f t="shared" si="17"/>
        <v xml:space="preserve"> </v>
      </c>
      <c r="H73" s="200" t="str">
        <f t="shared" si="7"/>
        <v xml:space="preserve"> </v>
      </c>
      <c r="I73" s="200" t="str">
        <f t="shared" ref="I73:W73" si="21">IF($B73&gt;0,(IF($C73="F",I33*$G33,(I33/($F33/100))*$G33))," ")</f>
        <v xml:space="preserve"> </v>
      </c>
      <c r="J73" s="200" t="str">
        <f t="shared" si="21"/>
        <v xml:space="preserve"> </v>
      </c>
      <c r="K73" s="199" t="str">
        <f t="shared" si="21"/>
        <v xml:space="preserve"> </v>
      </c>
      <c r="L73" s="200" t="str">
        <f t="shared" si="21"/>
        <v xml:space="preserve"> </v>
      </c>
      <c r="M73" s="200" t="str">
        <f t="shared" si="21"/>
        <v xml:space="preserve"> </v>
      </c>
      <c r="N73" s="200" t="str">
        <f t="shared" si="21"/>
        <v xml:space="preserve"> </v>
      </c>
      <c r="O73" s="200" t="str">
        <f t="shared" si="21"/>
        <v xml:space="preserve"> </v>
      </c>
      <c r="P73" s="200" t="str">
        <f t="shared" si="21"/>
        <v xml:space="preserve"> </v>
      </c>
      <c r="Q73" s="200" t="str">
        <f t="shared" si="21"/>
        <v xml:space="preserve"> </v>
      </c>
      <c r="R73" s="200" t="str">
        <f t="shared" si="21"/>
        <v xml:space="preserve"> </v>
      </c>
      <c r="S73" s="200" t="str">
        <f t="shared" si="21"/>
        <v xml:space="preserve"> </v>
      </c>
      <c r="T73" s="200" t="str">
        <f t="shared" si="21"/>
        <v xml:space="preserve"> </v>
      </c>
      <c r="U73" s="200" t="str">
        <f t="shared" si="21"/>
        <v xml:space="preserve"> </v>
      </c>
      <c r="V73" s="200" t="str">
        <f t="shared" si="21"/>
        <v xml:space="preserve"> </v>
      </c>
      <c r="W73" s="201" t="str">
        <f t="shared" si="21"/>
        <v xml:space="preserve"> </v>
      </c>
    </row>
    <row r="74" spans="1:23">
      <c r="A74" s="195"/>
      <c r="B74" s="202">
        <f t="shared" si="17"/>
        <v>0</v>
      </c>
      <c r="C74" s="197" t="str">
        <f t="shared" si="17"/>
        <v/>
      </c>
      <c r="D74" s="197">
        <f t="shared" si="17"/>
        <v>0</v>
      </c>
      <c r="E74" s="197">
        <f t="shared" si="17"/>
        <v>0</v>
      </c>
      <c r="F74" s="198" t="str">
        <f t="shared" si="17"/>
        <v xml:space="preserve"> </v>
      </c>
      <c r="G74" s="199" t="str">
        <f t="shared" si="17"/>
        <v xml:space="preserve"> </v>
      </c>
      <c r="H74" s="200" t="str">
        <f t="shared" si="7"/>
        <v xml:space="preserve"> </v>
      </c>
      <c r="I74" s="200" t="str">
        <f t="shared" ref="I74:W74" si="22">IF($B74&gt;0,(IF($C74="F",I34*$G34,(I34/($F34/100))*$G34))," ")</f>
        <v xml:space="preserve"> </v>
      </c>
      <c r="J74" s="200" t="str">
        <f t="shared" si="22"/>
        <v xml:space="preserve"> </v>
      </c>
      <c r="K74" s="199" t="str">
        <f t="shared" si="22"/>
        <v xml:space="preserve"> </v>
      </c>
      <c r="L74" s="200" t="str">
        <f t="shared" si="22"/>
        <v xml:space="preserve"> </v>
      </c>
      <c r="M74" s="200" t="str">
        <f t="shared" si="22"/>
        <v xml:space="preserve"> </v>
      </c>
      <c r="N74" s="200" t="str">
        <f t="shared" si="22"/>
        <v xml:space="preserve"> </v>
      </c>
      <c r="O74" s="200" t="str">
        <f t="shared" si="22"/>
        <v xml:space="preserve"> </v>
      </c>
      <c r="P74" s="200" t="str">
        <f t="shared" si="22"/>
        <v xml:space="preserve"> </v>
      </c>
      <c r="Q74" s="200" t="str">
        <f t="shared" si="22"/>
        <v xml:space="preserve"> </v>
      </c>
      <c r="R74" s="200" t="str">
        <f t="shared" si="22"/>
        <v xml:space="preserve"> </v>
      </c>
      <c r="S74" s="200" t="str">
        <f t="shared" si="22"/>
        <v xml:space="preserve"> </v>
      </c>
      <c r="T74" s="200" t="str">
        <f t="shared" si="22"/>
        <v xml:space="preserve"> </v>
      </c>
      <c r="U74" s="200" t="str">
        <f t="shared" si="22"/>
        <v xml:space="preserve"> </v>
      </c>
      <c r="V74" s="200" t="str">
        <f t="shared" si="22"/>
        <v xml:space="preserve"> </v>
      </c>
      <c r="W74" s="201" t="str">
        <f t="shared" si="22"/>
        <v xml:space="preserve"> </v>
      </c>
    </row>
    <row r="75" spans="1:23">
      <c r="A75" s="195"/>
      <c r="B75" s="202">
        <f t="shared" si="17"/>
        <v>0</v>
      </c>
      <c r="C75" s="197" t="str">
        <f t="shared" si="17"/>
        <v/>
      </c>
      <c r="D75" s="197">
        <f t="shared" si="17"/>
        <v>0</v>
      </c>
      <c r="E75" s="197">
        <f t="shared" si="17"/>
        <v>0</v>
      </c>
      <c r="F75" s="198" t="str">
        <f t="shared" si="17"/>
        <v xml:space="preserve"> </v>
      </c>
      <c r="G75" s="199" t="str">
        <f t="shared" si="17"/>
        <v xml:space="preserve"> </v>
      </c>
      <c r="H75" s="200" t="str">
        <f t="shared" si="7"/>
        <v xml:space="preserve"> </v>
      </c>
      <c r="I75" s="200" t="str">
        <f t="shared" ref="I75:W75" si="23">IF($B75&gt;0,(IF($C75="F",I35*$G35,(I35/($F35/100))*$G35))," ")</f>
        <v xml:space="preserve"> </v>
      </c>
      <c r="J75" s="200" t="str">
        <f t="shared" si="23"/>
        <v xml:space="preserve"> </v>
      </c>
      <c r="K75" s="199" t="str">
        <f t="shared" si="23"/>
        <v xml:space="preserve"> </v>
      </c>
      <c r="L75" s="200" t="str">
        <f t="shared" si="23"/>
        <v xml:space="preserve"> </v>
      </c>
      <c r="M75" s="200" t="str">
        <f t="shared" si="23"/>
        <v xml:space="preserve"> </v>
      </c>
      <c r="N75" s="200" t="str">
        <f t="shared" si="23"/>
        <v xml:space="preserve"> </v>
      </c>
      <c r="O75" s="200" t="str">
        <f t="shared" si="23"/>
        <v xml:space="preserve"> </v>
      </c>
      <c r="P75" s="200" t="str">
        <f t="shared" si="23"/>
        <v xml:space="preserve"> </v>
      </c>
      <c r="Q75" s="200" t="str">
        <f t="shared" si="23"/>
        <v xml:space="preserve"> </v>
      </c>
      <c r="R75" s="200" t="str">
        <f t="shared" si="23"/>
        <v xml:space="preserve"> </v>
      </c>
      <c r="S75" s="200" t="str">
        <f t="shared" si="23"/>
        <v xml:space="preserve"> </v>
      </c>
      <c r="T75" s="200" t="str">
        <f t="shared" si="23"/>
        <v xml:space="preserve"> </v>
      </c>
      <c r="U75" s="200" t="str">
        <f t="shared" si="23"/>
        <v xml:space="preserve"> </v>
      </c>
      <c r="V75" s="200" t="str">
        <f t="shared" si="23"/>
        <v xml:space="preserve"> </v>
      </c>
      <c r="W75" s="201" t="str">
        <f t="shared" si="23"/>
        <v xml:space="preserve"> </v>
      </c>
    </row>
    <row r="76" spans="1:23">
      <c r="A76" s="203"/>
      <c r="B76" s="204"/>
      <c r="C76" s="204"/>
      <c r="D76" s="205">
        <f>SUM(D60:D75)</f>
        <v>0</v>
      </c>
      <c r="E76" s="206" t="e">
        <f>G76/D76</f>
        <v>#DIV/0!</v>
      </c>
      <c r="F76" s="204"/>
      <c r="G76" s="205">
        <f t="shared" ref="G76:W76" si="24">SUM(G60:G75)</f>
        <v>0</v>
      </c>
      <c r="H76" s="207" t="e">
        <f t="shared" si="24"/>
        <v>#VALUE!</v>
      </c>
      <c r="I76" s="207">
        <f>SUM(I60:I75)</f>
        <v>0</v>
      </c>
      <c r="J76" s="207">
        <f t="shared" si="24"/>
        <v>0</v>
      </c>
      <c r="K76" s="208">
        <f t="shared" si="24"/>
        <v>0</v>
      </c>
      <c r="L76" s="207">
        <f t="shared" si="24"/>
        <v>0</v>
      </c>
      <c r="M76" s="207">
        <f t="shared" si="24"/>
        <v>0</v>
      </c>
      <c r="N76" s="207">
        <f t="shared" si="24"/>
        <v>0</v>
      </c>
      <c r="O76" s="205">
        <f t="shared" si="24"/>
        <v>0</v>
      </c>
      <c r="P76" s="205">
        <f t="shared" si="24"/>
        <v>0</v>
      </c>
      <c r="Q76" s="207">
        <f t="shared" si="24"/>
        <v>0</v>
      </c>
      <c r="R76" s="207">
        <f t="shared" si="24"/>
        <v>0</v>
      </c>
      <c r="S76" s="207">
        <f t="shared" si="24"/>
        <v>0</v>
      </c>
      <c r="T76" s="207">
        <f t="shared" si="24"/>
        <v>0</v>
      </c>
      <c r="U76" s="207">
        <f t="shared" si="24"/>
        <v>0</v>
      </c>
      <c r="V76" s="207">
        <f t="shared" si="24"/>
        <v>0</v>
      </c>
      <c r="W76" s="209">
        <f t="shared" si="24"/>
        <v>0</v>
      </c>
    </row>
    <row r="77" spans="1:23">
      <c r="H77" s="147" t="str">
        <f>IF(A77&gt;0,(IF($C$60="F",H37*$G$20,(H37/($F$20/100))*$G$20))," ")</f>
        <v xml:space="preserve"> </v>
      </c>
    </row>
    <row r="78" spans="1:23">
      <c r="A78" s="116" t="s">
        <v>222</v>
      </c>
      <c r="B78" s="116"/>
      <c r="C78" s="116"/>
      <c r="D78" s="116"/>
      <c r="E78" s="116"/>
    </row>
    <row r="79" spans="1:23">
      <c r="A79" s="210"/>
      <c r="B79" s="169" t="s">
        <v>42</v>
      </c>
      <c r="C79" s="169" t="s">
        <v>44</v>
      </c>
      <c r="D79" s="169" t="s">
        <v>46</v>
      </c>
      <c r="E79" s="169" t="s">
        <v>217</v>
      </c>
      <c r="G79" s="169" t="s">
        <v>223</v>
      </c>
    </row>
    <row r="80" spans="1:23">
      <c r="A80" s="211">
        <v>1</v>
      </c>
      <c r="B80" s="116">
        <v>660</v>
      </c>
      <c r="C80" s="116">
        <v>64</v>
      </c>
      <c r="D80" s="116">
        <v>0.85</v>
      </c>
      <c r="E80" s="116">
        <v>110</v>
      </c>
      <c r="G80" s="116" t="b">
        <v>0</v>
      </c>
    </row>
    <row r="81" spans="1:5">
      <c r="A81" s="211">
        <v>2</v>
      </c>
      <c r="B81" s="116">
        <v>330</v>
      </c>
      <c r="C81" s="116">
        <v>37</v>
      </c>
      <c r="D81" s="116">
        <v>0.37</v>
      </c>
      <c r="E81" s="116">
        <v>47</v>
      </c>
    </row>
    <row r="82" spans="1:5">
      <c r="A82" s="211" t="s">
        <v>183</v>
      </c>
      <c r="B82" s="116">
        <v>0</v>
      </c>
      <c r="C82" s="116">
        <v>0</v>
      </c>
      <c r="D82" s="116">
        <v>0</v>
      </c>
      <c r="E82" s="116">
        <v>0</v>
      </c>
    </row>
  </sheetData>
  <sheetProtection algorithmName="SHA-512" hashValue="4dG4ZiVVRpHe4v94i0tGyIkUWs2DrR5RKrEcOYu0NiIUHDOZ4SEThW5MO/T0KUBzigkwrxGCKhIaegziovxuBQ==" saltValue="h9dXEt4DJBFlt3dEZJ+9HA==" spinCount="100000" sheet="1" objects="1" scenarios="1"/>
  <protectedRanges>
    <protectedRange algorithmName="SHA-512" hashValue="x5NllUJNcW/3ID1tHctVXpa97JaEp57w8WFb4B9sZvWthV3T9Gs0NMd/BcE7TdES9IS3ixulJRJ3Cnbnxs5T6Q==" saltValue="ZckdvCHrQiJF+gdZ226W6A==" spinCount="100000" sqref="C3:F5 D9:D14 B20:B35 W20:W35 D20:E35" name="Plage1"/>
  </protectedRanges>
  <mergeCells count="6">
    <mergeCell ref="B47:C47"/>
    <mergeCell ref="B1:W1"/>
    <mergeCell ref="R37:U37"/>
    <mergeCell ref="C3:F3"/>
    <mergeCell ref="C4:F4"/>
    <mergeCell ref="C5:F5"/>
  </mergeCells>
  <phoneticPr fontId="41" type="noConversion"/>
  <conditionalFormatting sqref="H41">
    <cfRule type="expression" dxfId="127" priority="101">
      <formula>$H$41&lt;($D$15*0.93)</formula>
    </cfRule>
    <cfRule type="expression" dxfId="126" priority="102">
      <formula>$H$41&gt;($D$15*0.98)</formula>
    </cfRule>
  </conditionalFormatting>
  <conditionalFormatting sqref="I41">
    <cfRule type="expression" dxfId="125" priority="103">
      <formula>$I$41&gt;($D$15*0.98)</formula>
    </cfRule>
    <cfRule type="expression" dxfId="124" priority="104">
      <formula>$I$41&lt;($D$15*0.93)</formula>
    </cfRule>
  </conditionalFormatting>
  <conditionalFormatting sqref="K41">
    <cfRule type="expression" dxfId="123" priority="105">
      <formula>$K$41&gt;($D$15*0.98)</formula>
    </cfRule>
    <cfRule type="expression" dxfId="122" priority="106">
      <formula>$K$41&lt;($D$15*0.93)</formula>
    </cfRule>
  </conditionalFormatting>
  <conditionalFormatting sqref="L41">
    <cfRule type="expression" dxfId="121" priority="107">
      <formula>$L$41&gt;($D$15*0.98)</formula>
    </cfRule>
    <cfRule type="expression" dxfId="120" priority="108">
      <formula>$L$41&lt;($D$15*0.93)</formula>
    </cfRule>
  </conditionalFormatting>
  <conditionalFormatting sqref="M41">
    <cfRule type="expression" dxfId="119" priority="109">
      <formula>$M$41&gt;($D$15*0.98)</formula>
    </cfRule>
    <cfRule type="expression" dxfId="118" priority="110">
      <formula>$M$41&lt;($D$15*0.93)</formula>
    </cfRule>
  </conditionalFormatting>
  <conditionalFormatting sqref="O41">
    <cfRule type="expression" dxfId="117" priority="111">
      <formula>$O$41&gt;($D$10*0.98)</formula>
    </cfRule>
    <cfRule type="expression" dxfId="116" priority="112">
      <formula>$O$41&lt;($D$10*0.93)</formula>
    </cfRule>
  </conditionalFormatting>
  <conditionalFormatting sqref="P41">
    <cfRule type="expression" dxfId="115" priority="113">
      <formula>$P$41&gt;($D$10*0.98)</formula>
    </cfRule>
    <cfRule type="expression" dxfId="114" priority="114">
      <formula>$P$41&lt;($D$10*0.93)</formula>
    </cfRule>
  </conditionalFormatting>
  <conditionalFormatting sqref="R40">
    <cfRule type="expression" dxfId="113" priority="115">
      <formula>$R$40&lt;$R$44</formula>
    </cfRule>
    <cfRule type="expression" dxfId="112" priority="116">
      <formula>$R$40&gt;$R$45</formula>
    </cfRule>
  </conditionalFormatting>
  <conditionalFormatting sqref="S40">
    <cfRule type="expression" dxfId="111" priority="117">
      <formula>$S$40&lt;$S$44</formula>
    </cfRule>
  </conditionalFormatting>
  <conditionalFormatting sqref="T40">
    <cfRule type="expression" dxfId="110" priority="118">
      <formula>$T$40&lt;$T$44</formula>
    </cfRule>
  </conditionalFormatting>
  <conditionalFormatting sqref="U40">
    <cfRule type="expression" dxfId="109" priority="119">
      <formula>$U$40&lt;$U$44</formula>
    </cfRule>
  </conditionalFormatting>
  <conditionalFormatting sqref="V40">
    <cfRule type="expression" dxfId="108" priority="120">
      <formula>$V$40&gt;$V$45</formula>
    </cfRule>
  </conditionalFormatting>
  <dataValidations count="1">
    <dataValidation type="list" allowBlank="1" showInputMessage="1" showErrorMessage="1" sqref="D14" xr:uid="{CFFCA845-CD1B-43D8-9E85-1C7B22AC83E7}">
      <formula1>$A$80:$A$82</formula1>
    </dataValidation>
  </dataValidations>
  <pageMargins left="0.25" right="0.25" top="0.75" bottom="0.75" header="0.3" footer="0.3"/>
  <pageSetup paperSize="8" scale="51"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31" r:id="rId4" name="Check Box 7">
              <controlPr defaultSize="0" autoFill="0" autoLine="0" autoPict="0">
                <anchor moveWithCells="1">
                  <from>
                    <xdr:col>2</xdr:col>
                    <xdr:colOff>22860</xdr:colOff>
                    <xdr:row>6</xdr:row>
                    <xdr:rowOff>60960</xdr:rowOff>
                  </from>
                  <to>
                    <xdr:col>3</xdr:col>
                    <xdr:colOff>533400</xdr:colOff>
                    <xdr:row>7</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16505924-C23A-4DEA-B065-6B858123457C}">
          <x14:formula1>
            <xm:f>'Liste des aliments'!$C$6:$C$967</xm:f>
          </x14:formula1>
          <xm:sqref>B20:B35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E001E-D444-4429-8737-8095C28CB8FF}">
  <sheetPr codeName="Feuil4">
    <tabColor rgb="FF6CA52D"/>
  </sheetPr>
  <dimension ref="A2:H59"/>
  <sheetViews>
    <sheetView showGridLines="0" zoomScaleNormal="100" zoomScaleSheetLayoutView="145" workbookViewId="0">
      <selection activeCell="K7" sqref="K7"/>
    </sheetView>
  </sheetViews>
  <sheetFormatPr baseColWidth="10" defaultColWidth="11.44140625" defaultRowHeight="14.4"/>
  <cols>
    <col min="1" max="1" width="28.33203125" customWidth="1"/>
    <col min="2" max="2" width="10.109375" customWidth="1"/>
    <col min="3" max="3" width="9.109375" customWidth="1"/>
    <col min="4" max="4" width="8.6640625" customWidth="1"/>
    <col min="5" max="5" width="11.44140625" customWidth="1"/>
    <col min="6" max="6" width="7.6640625" customWidth="1"/>
    <col min="7" max="7" width="5.6640625" customWidth="1"/>
    <col min="8" max="8" width="17.5546875" customWidth="1"/>
  </cols>
  <sheetData>
    <row r="2" spans="1:8" ht="24" customHeight="1">
      <c r="F2" s="40"/>
      <c r="G2" s="786">
        <f ca="1">TODAY()</f>
        <v>45922</v>
      </c>
      <c r="H2" s="786"/>
    </row>
    <row r="3" spans="1:8" s="32" customFormat="1" ht="12" customHeight="1">
      <c r="A3" s="19" t="s">
        <v>224</v>
      </c>
      <c r="B3" s="42"/>
      <c r="C3" s="42"/>
      <c r="G3" s="77"/>
    </row>
    <row r="4" spans="1:8" s="32" customFormat="1" ht="12" customHeight="1">
      <c r="A4" s="20" t="s">
        <v>225</v>
      </c>
      <c r="B4" s="42"/>
      <c r="C4" s="42"/>
    </row>
    <row r="5" spans="1:8" s="32" customFormat="1" ht="12" customHeight="1">
      <c r="A5" s="20" t="s">
        <v>226</v>
      </c>
      <c r="B5" s="42"/>
      <c r="C5" s="42"/>
    </row>
    <row r="6" spans="1:8" s="32" customFormat="1" ht="12" customHeight="1">
      <c r="A6" s="42" t="str">
        <f>_xlfn.CONCAT("Ration établie par : ",'   VL   '!C5:F5)</f>
        <v xml:space="preserve">Ration établie par : </v>
      </c>
      <c r="B6" s="42"/>
      <c r="C6" s="42"/>
    </row>
    <row r="7" spans="1:8" ht="5.25" customHeight="1"/>
    <row r="8" spans="1:8" ht="23.4">
      <c r="A8" s="783" t="str">
        <f>_xlfn.CONCAT("RATION : ",'   VL   '!C3:F3," - ",'   VL   '!C4:F4)</f>
        <v xml:space="preserve">RATION :  - </v>
      </c>
      <c r="B8" s="784"/>
      <c r="C8" s="784"/>
      <c r="D8" s="784"/>
      <c r="E8" s="784"/>
      <c r="F8" s="784"/>
      <c r="G8" s="784"/>
      <c r="H8" s="785"/>
    </row>
    <row r="10" spans="1:8" ht="12.9" customHeight="1">
      <c r="A10" s="21" t="s">
        <v>227</v>
      </c>
      <c r="B10" s="22"/>
      <c r="C10" s="23"/>
      <c r="D10" s="21" t="s">
        <v>160</v>
      </c>
      <c r="E10" s="22"/>
      <c r="F10" s="22"/>
      <c r="G10" s="22"/>
      <c r="H10" s="31"/>
    </row>
    <row r="11" spans="1:8" ht="12.9" customHeight="1">
      <c r="A11" s="23" t="s">
        <v>167</v>
      </c>
      <c r="B11" s="24">
        <f>'   VL   '!D9</f>
        <v>650</v>
      </c>
      <c r="C11" s="23"/>
      <c r="D11" s="23"/>
      <c r="E11" s="23"/>
      <c r="F11" s="23"/>
      <c r="G11" s="23"/>
      <c r="H11" s="32"/>
    </row>
    <row r="12" spans="1:8" ht="12.9" customHeight="1">
      <c r="A12" s="23" t="s">
        <v>228</v>
      </c>
      <c r="B12" s="25">
        <f>'   VL   '!D10</f>
        <v>25</v>
      </c>
      <c r="C12" s="23"/>
      <c r="D12" s="23"/>
      <c r="E12" s="23"/>
      <c r="F12" s="23"/>
      <c r="G12" s="23"/>
      <c r="H12" s="32"/>
    </row>
    <row r="13" spans="1:8" ht="12.9" customHeight="1">
      <c r="A13" s="23" t="s">
        <v>229</v>
      </c>
      <c r="B13" s="25">
        <f>'   VL   '!D11</f>
        <v>4</v>
      </c>
      <c r="C13" s="23"/>
      <c r="D13" s="23"/>
      <c r="E13" s="23"/>
      <c r="F13" s="23"/>
      <c r="G13" s="23"/>
      <c r="H13" s="32"/>
    </row>
    <row r="14" spans="1:8" ht="12.9" customHeight="1">
      <c r="A14" s="23" t="s">
        <v>230</v>
      </c>
      <c r="B14" s="25">
        <f>'   VL   '!D12</f>
        <v>3.5</v>
      </c>
      <c r="C14" s="23"/>
      <c r="D14" s="23"/>
      <c r="E14" s="23"/>
      <c r="F14" s="23"/>
      <c r="G14" s="23"/>
      <c r="H14" s="32"/>
    </row>
    <row r="15" spans="1:8" ht="12.9" customHeight="1">
      <c r="A15" s="23" t="s">
        <v>231</v>
      </c>
      <c r="B15" s="24" t="str">
        <f>IF('   VL   '!G80=TRUE,"Jersey","Standard")</f>
        <v>Standard</v>
      </c>
      <c r="C15" s="23"/>
      <c r="D15" s="23"/>
      <c r="E15" s="23"/>
      <c r="F15" s="23"/>
      <c r="G15" s="23"/>
      <c r="H15" s="32"/>
    </row>
    <row r="16" spans="1:8" ht="12.9" customHeight="1">
      <c r="C16" s="23"/>
      <c r="D16" s="23"/>
      <c r="E16" s="23"/>
      <c r="F16" s="23"/>
      <c r="G16" s="23"/>
      <c r="H16" s="32"/>
    </row>
    <row r="17" spans="1:8" ht="12.9" customHeight="1">
      <c r="A17" s="21" t="s">
        <v>232</v>
      </c>
      <c r="B17" s="26"/>
      <c r="C17" s="23"/>
      <c r="D17" s="23"/>
      <c r="E17" s="23"/>
      <c r="F17" s="23"/>
      <c r="G17" s="23"/>
      <c r="H17" s="32"/>
    </row>
    <row r="18" spans="1:8" ht="12.9" customHeight="1">
      <c r="A18" s="23" t="s">
        <v>233</v>
      </c>
      <c r="B18" s="278">
        <f>'   VL   '!W39</f>
        <v>0</v>
      </c>
      <c r="C18" s="23"/>
      <c r="D18" s="23"/>
      <c r="E18" s="23"/>
      <c r="F18" s="23"/>
      <c r="G18" s="23"/>
      <c r="H18" s="32"/>
    </row>
    <row r="19" spans="1:8" ht="12.9" customHeight="1">
      <c r="A19" s="23" t="s">
        <v>234</v>
      </c>
      <c r="B19" s="28">
        <f>('   VL   '!D54)*100</f>
        <v>0</v>
      </c>
      <c r="C19" s="23"/>
      <c r="D19" s="23"/>
      <c r="E19" s="23"/>
      <c r="F19" s="23"/>
      <c r="G19" s="23"/>
      <c r="H19" s="32"/>
    </row>
    <row r="20" spans="1:8" ht="12.9" customHeight="1">
      <c r="A20" s="23" t="s">
        <v>235</v>
      </c>
      <c r="B20" s="28" t="e">
        <f>'   VL   '!M39/'   VL   '!K39</f>
        <v>#DIV/0!</v>
      </c>
      <c r="C20" s="23"/>
      <c r="D20" s="23"/>
      <c r="E20" s="23"/>
      <c r="F20" s="23"/>
      <c r="G20" s="23"/>
      <c r="H20" s="32"/>
    </row>
    <row r="21" spans="1:8" ht="12.9" customHeight="1">
      <c r="A21" s="23" t="s">
        <v>236</v>
      </c>
      <c r="B21" s="28" t="e">
        <f>('   VL   '!I39/'   VL   '!H39)*1000</f>
        <v>#VALUE!</v>
      </c>
      <c r="C21" s="23"/>
      <c r="D21" s="23"/>
      <c r="E21" s="23"/>
      <c r="F21" s="23"/>
      <c r="G21" s="23"/>
      <c r="H21" s="32"/>
    </row>
    <row r="22" spans="1:8" ht="12.9" customHeight="1">
      <c r="A22" s="23" t="s">
        <v>237</v>
      </c>
      <c r="B22" s="29" t="e">
        <f>'   VL   '!E39</f>
        <v>#DIV/0!</v>
      </c>
      <c r="C22" s="23"/>
      <c r="D22" s="23"/>
      <c r="E22" s="23"/>
      <c r="F22" s="23"/>
      <c r="G22" s="23"/>
      <c r="H22" s="32"/>
    </row>
    <row r="23" spans="1:8" ht="12.9" customHeight="1">
      <c r="A23" s="23"/>
      <c r="B23" s="23"/>
      <c r="C23" s="23"/>
      <c r="D23" s="23"/>
      <c r="E23" s="23"/>
      <c r="F23" s="23"/>
      <c r="G23" s="23"/>
      <c r="H23" s="32"/>
    </row>
    <row r="24" spans="1:8" ht="12.9" customHeight="1">
      <c r="A24" s="21" t="s">
        <v>186</v>
      </c>
      <c r="B24" s="22"/>
      <c r="C24" s="22"/>
      <c r="D24" s="22"/>
      <c r="E24" s="22"/>
      <c r="F24" s="22"/>
      <c r="G24" s="22"/>
      <c r="H24" s="31"/>
    </row>
    <row r="25" spans="1:8" ht="9" customHeight="1">
      <c r="A25" s="23"/>
      <c r="B25" s="23"/>
      <c r="C25" s="23"/>
      <c r="D25" s="23"/>
      <c r="E25" s="23"/>
      <c r="F25" s="23"/>
      <c r="G25" s="23"/>
    </row>
    <row r="26" spans="1:8" ht="17.399999999999999" customHeight="1">
      <c r="A26" s="72" t="s">
        <v>238</v>
      </c>
      <c r="B26" s="72" t="s">
        <v>188</v>
      </c>
      <c r="C26" s="72" t="s">
        <v>191</v>
      </c>
      <c r="D26" s="30"/>
      <c r="E26" s="23"/>
      <c r="F26" s="23"/>
      <c r="G26" s="23"/>
    </row>
    <row r="27" spans="1:8" ht="15" customHeight="1">
      <c r="A27" s="69" t="str">
        <f>IF(ISBLANK('   VL   '!B20),"",'   VL   '!B20)</f>
        <v/>
      </c>
      <c r="B27" s="70" t="str">
        <f>IF(ISBLANK('   VL   '!B20)," ",'   VL   '!D20)</f>
        <v xml:space="preserve"> </v>
      </c>
      <c r="C27" s="71" t="str">
        <f>'   VL   '!G20</f>
        <v xml:space="preserve"> </v>
      </c>
      <c r="D27" s="30"/>
      <c r="E27" s="38" t="s">
        <v>239</v>
      </c>
      <c r="F27" s="36">
        <f>SUM(B27:B41)</f>
        <v>0</v>
      </c>
      <c r="G27" s="34" t="s">
        <v>240</v>
      </c>
    </row>
    <row r="28" spans="1:8" ht="15" customHeight="1">
      <c r="A28" s="69" t="str">
        <f>IF(ISBLANK('   VL   '!B21),"",'   VL   '!B21)</f>
        <v/>
      </c>
      <c r="B28" s="70" t="str">
        <f>IF(ISBLANK('   VL   '!B21)," ",'   VL   '!D21)</f>
        <v xml:space="preserve"> </v>
      </c>
      <c r="C28" s="279" t="str">
        <f>'   VL   '!G21</f>
        <v xml:space="preserve"> </v>
      </c>
      <c r="D28" s="30"/>
      <c r="E28" s="39" t="s">
        <v>241</v>
      </c>
      <c r="F28" s="37">
        <f>SUM(C27:C41)</f>
        <v>0</v>
      </c>
      <c r="G28" s="35" t="s">
        <v>240</v>
      </c>
    </row>
    <row r="29" spans="1:8" ht="15" customHeight="1">
      <c r="A29" s="69" t="str">
        <f>IF(ISBLANK('   VL   '!B22),"",'   VL   '!B22)</f>
        <v/>
      </c>
      <c r="B29" s="70" t="str">
        <f>IF(ISBLANK('   VL   '!B22)," ",'   VL   '!D22)</f>
        <v xml:space="preserve"> </v>
      </c>
      <c r="C29" s="279" t="str">
        <f>'   VL   '!G22</f>
        <v xml:space="preserve"> </v>
      </c>
      <c r="D29" s="30"/>
      <c r="E29" s="23"/>
      <c r="F29" s="23"/>
      <c r="G29" s="23"/>
      <c r="H29" s="32"/>
    </row>
    <row r="30" spans="1:8" ht="15" customHeight="1">
      <c r="A30" s="69" t="str">
        <f>IF(ISBLANK('   VL   '!B23),"",'   VL   '!B23)</f>
        <v/>
      </c>
      <c r="B30" s="70" t="str">
        <f>IF(ISBLANK('   VL   '!B23)," ",'   VL   '!D23)</f>
        <v xml:space="preserve"> </v>
      </c>
      <c r="C30" s="279" t="str">
        <f>'   VL   '!G23</f>
        <v xml:space="preserve"> </v>
      </c>
      <c r="D30" s="30"/>
      <c r="E30" s="23"/>
      <c r="F30" s="23"/>
      <c r="G30" s="23"/>
      <c r="H30" s="32"/>
    </row>
    <row r="31" spans="1:8" ht="15" customHeight="1">
      <c r="A31" s="69" t="str">
        <f>IF(ISBLANK('   VL   '!B24),"",'   VL   '!B24)</f>
        <v/>
      </c>
      <c r="B31" s="70" t="str">
        <f>IF(ISBLANK('   VL   '!B24)," ",'   VL   '!D24)</f>
        <v xml:space="preserve"> </v>
      </c>
      <c r="C31" s="279" t="str">
        <f>'   VL   '!G24</f>
        <v xml:space="preserve"> </v>
      </c>
      <c r="D31" s="30"/>
      <c r="E31" s="280" t="s">
        <v>242</v>
      </c>
      <c r="F31" s="23"/>
      <c r="G31" s="23"/>
      <c r="H31" s="32"/>
    </row>
    <row r="32" spans="1:8" ht="15" customHeight="1">
      <c r="A32" s="69" t="str">
        <f>IF(ISBLANK('   VL   '!B25),"",'   VL   '!B25)</f>
        <v/>
      </c>
      <c r="B32" s="70" t="str">
        <f>IF(ISBLANK('   VL   '!B25)," ",'   VL   '!D25)</f>
        <v xml:space="preserve"> </v>
      </c>
      <c r="C32" s="279" t="str">
        <f>'   VL   '!G25</f>
        <v xml:space="preserve"> </v>
      </c>
      <c r="D32" s="30"/>
      <c r="E32" s="23" t="s">
        <v>243</v>
      </c>
      <c r="F32" s="281" t="e">
        <f>'   VL   '!D13*AVERAGE(MIN('   VL   '!H42:I42),MIN('   VL   '!K42:M42))/1000</f>
        <v>#VALUE!</v>
      </c>
      <c r="G32" s="23" t="s">
        <v>244</v>
      </c>
      <c r="H32" s="32"/>
    </row>
    <row r="33" spans="1:8" ht="15" customHeight="1">
      <c r="A33" s="69" t="str">
        <f>IF(ISBLANK('   VL   '!B26),"",'   VL   '!B26)</f>
        <v/>
      </c>
      <c r="B33" s="70" t="str">
        <f>IF(ISBLANK('   VL   '!B26)," ",'   VL   '!D26)</f>
        <v xml:space="preserve"> </v>
      </c>
      <c r="C33" s="279" t="str">
        <f>'   VL   '!G26</f>
        <v xml:space="preserve"> </v>
      </c>
      <c r="D33" s="33"/>
      <c r="E33" s="22" t="s">
        <v>245</v>
      </c>
      <c r="F33" s="282">
        <f>('   VL   '!W39)*(-1)</f>
        <v>0</v>
      </c>
      <c r="G33" s="22" t="s">
        <v>244</v>
      </c>
      <c r="H33" s="32"/>
    </row>
    <row r="34" spans="1:8" ht="15" customHeight="1">
      <c r="A34" s="69" t="str">
        <f>IF(ISBLANK('   VL   '!B27),"",'   VL   '!B27)</f>
        <v/>
      </c>
      <c r="B34" s="70" t="str">
        <f>IF(ISBLANK('   VL   '!B27)," ",'   VL   '!D27)</f>
        <v xml:space="preserve"> </v>
      </c>
      <c r="C34" s="279" t="str">
        <f>'   VL   '!G27</f>
        <v xml:space="preserve"> </v>
      </c>
      <c r="D34" s="33"/>
      <c r="E34" s="23" t="s">
        <v>246</v>
      </c>
      <c r="F34" s="283" t="e">
        <f>F32+F33</f>
        <v>#VALUE!</v>
      </c>
      <c r="G34" s="23" t="s">
        <v>244</v>
      </c>
      <c r="H34" s="32"/>
    </row>
    <row r="35" spans="1:8" ht="15" customHeight="1">
      <c r="A35" s="69" t="str">
        <f>IF(ISBLANK('   VL   '!B28),"",'   VL   '!B28)</f>
        <v/>
      </c>
      <c r="B35" s="70" t="str">
        <f>IF(ISBLANK('   VL   '!B28)," ",'   VL   '!D28)</f>
        <v xml:space="preserve"> </v>
      </c>
      <c r="C35" s="279" t="str">
        <f>'   VL   '!G28</f>
        <v xml:space="preserve"> </v>
      </c>
      <c r="D35" s="33"/>
      <c r="E35" s="32"/>
      <c r="F35" s="32"/>
      <c r="G35" s="32"/>
      <c r="H35" s="32"/>
    </row>
    <row r="36" spans="1:8" ht="15" customHeight="1">
      <c r="A36" s="69" t="str">
        <f>IF(ISBLANK('   VL   '!B29),"",'   VL   '!B29)</f>
        <v/>
      </c>
      <c r="B36" s="70" t="str">
        <f>IF(ISBLANK('   VL   '!B29)," ",'   VL   '!D29)</f>
        <v xml:space="preserve"> </v>
      </c>
      <c r="C36" s="279" t="str">
        <f>'   VL   '!G29</f>
        <v xml:space="preserve"> </v>
      </c>
      <c r="D36" s="33"/>
      <c r="E36" s="32"/>
      <c r="F36" s="32"/>
      <c r="G36" s="32"/>
      <c r="H36" s="32"/>
    </row>
    <row r="37" spans="1:8" ht="15" customHeight="1">
      <c r="A37" s="69" t="str">
        <f>IF(ISBLANK('   VL   '!B30),"",'   VL   '!B30)</f>
        <v/>
      </c>
      <c r="B37" s="70" t="str">
        <f>IF(ISBLANK('   VL   '!B30)," ",'   VL   '!D30)</f>
        <v xml:space="preserve"> </v>
      </c>
      <c r="C37" s="279" t="str">
        <f>'   VL   '!G30</f>
        <v xml:space="preserve"> </v>
      </c>
      <c r="D37" s="33"/>
      <c r="E37" s="284"/>
      <c r="F37" s="285" t="s">
        <v>247</v>
      </c>
      <c r="G37" s="286">
        <f>'   VL   '!D13</f>
        <v>460</v>
      </c>
      <c r="H37" s="32"/>
    </row>
    <row r="38" spans="1:8" ht="15" customHeight="1">
      <c r="A38" s="69" t="str">
        <f>IF(ISBLANK('   VL   '!B31),"",'   VL   '!B31)</f>
        <v/>
      </c>
      <c r="B38" s="70" t="str">
        <f>IF(ISBLANK('   VL   '!B31)," ",'   VL   '!D31)</f>
        <v xml:space="preserve"> </v>
      </c>
      <c r="C38" s="279" t="str">
        <f>'   VL   '!G31</f>
        <v xml:space="preserve"> </v>
      </c>
      <c r="D38" s="33"/>
      <c r="E38" s="32"/>
      <c r="F38" s="32"/>
      <c r="G38" s="32"/>
      <c r="H38" s="32"/>
    </row>
    <row r="39" spans="1:8" ht="15" customHeight="1">
      <c r="A39" s="69" t="str">
        <f>IF(ISBLANK('   VL   '!B32),"",'   VL   '!B32)</f>
        <v/>
      </c>
      <c r="B39" s="70" t="str">
        <f>IF(ISBLANK('   VL   '!B32)," ",'   VL   '!D32)</f>
        <v xml:space="preserve"> </v>
      </c>
      <c r="C39" s="279" t="str">
        <f>'   VL   '!G32</f>
        <v xml:space="preserve"> </v>
      </c>
      <c r="D39" s="33"/>
      <c r="E39" s="32"/>
      <c r="F39" s="32"/>
      <c r="G39" s="32"/>
      <c r="H39" s="32"/>
    </row>
    <row r="40" spans="1:8" ht="15" customHeight="1">
      <c r="A40" s="69" t="str">
        <f>IF(ISBLANK('   VL   '!B33),"",'   VL   '!B33)</f>
        <v/>
      </c>
      <c r="B40" s="70" t="str">
        <f>IF(ISBLANK('   VL   '!B33)," ",'   VL   '!D33)</f>
        <v xml:space="preserve"> </v>
      </c>
      <c r="C40" s="279" t="str">
        <f>'   VL   '!G33</f>
        <v xml:space="preserve"> </v>
      </c>
      <c r="D40" s="33"/>
      <c r="E40" s="32"/>
      <c r="F40" s="32"/>
      <c r="G40" s="32"/>
      <c r="H40" s="32"/>
    </row>
    <row r="41" spans="1:8" ht="15" customHeight="1">
      <c r="A41" s="69" t="str">
        <f>IF(ISBLANK('   VL   '!B34),"",'   VL   '!B34)</f>
        <v/>
      </c>
      <c r="B41" s="70" t="str">
        <f>IF(ISBLANK('   VL   '!B34)," ",'   VL   '!D34)</f>
        <v xml:space="preserve"> </v>
      </c>
      <c r="C41" s="279" t="str">
        <f>'   VL   '!G34</f>
        <v xml:space="preserve"> </v>
      </c>
      <c r="D41" s="33"/>
      <c r="E41" s="32"/>
      <c r="F41" s="32"/>
      <c r="G41" s="32"/>
      <c r="H41" s="32"/>
    </row>
    <row r="42" spans="1:8" ht="15" customHeight="1">
      <c r="A42" s="69" t="str">
        <f>IF(ISBLANK('   VL   '!B35),"",'   VL   '!B35)</f>
        <v/>
      </c>
      <c r="B42" s="70" t="str">
        <f>IF(ISBLANK('   VL   '!B35)," ",'   VL   '!D35)</f>
        <v xml:space="preserve"> </v>
      </c>
      <c r="C42" s="279" t="str">
        <f>'   VL   '!G35</f>
        <v xml:space="preserve"> </v>
      </c>
      <c r="D42" s="32"/>
      <c r="E42" s="32"/>
      <c r="F42" s="32"/>
      <c r="G42" s="32"/>
      <c r="H42" s="32"/>
    </row>
    <row r="43" spans="1:8" ht="5.4" customHeight="1">
      <c r="B43" s="68"/>
      <c r="C43" s="6"/>
      <c r="D43" s="32"/>
      <c r="E43" s="32"/>
      <c r="F43" s="32"/>
      <c r="G43" s="32"/>
      <c r="H43" s="32"/>
    </row>
    <row r="44" spans="1:8" ht="12.9" customHeight="1">
      <c r="A44" s="78" t="s">
        <v>248</v>
      </c>
      <c r="B44" s="48"/>
      <c r="C44" s="48"/>
      <c r="D44" s="48"/>
      <c r="E44" s="48"/>
      <c r="F44" s="48"/>
      <c r="G44" s="48"/>
      <c r="H44" s="49"/>
    </row>
    <row r="45" spans="1:8" ht="4.2" customHeight="1">
      <c r="A45" s="50"/>
      <c r="H45" s="51"/>
    </row>
    <row r="46" spans="1:8" ht="12" customHeight="1">
      <c r="A46" s="52" t="s">
        <v>42</v>
      </c>
      <c r="B46" s="45" t="e">
        <f>'   VL   '!H40</f>
        <v>#VALUE!</v>
      </c>
      <c r="C46" s="32"/>
      <c r="D46" s="782" t="s">
        <v>54</v>
      </c>
      <c r="E46" s="782"/>
      <c r="F46" s="45" t="e">
        <f>'   VL   '!R40</f>
        <v>#DIV/0!</v>
      </c>
      <c r="G46" s="32" t="s">
        <v>249</v>
      </c>
      <c r="H46" s="51"/>
    </row>
    <row r="47" spans="1:8" ht="12" customHeight="1">
      <c r="A47" s="52" t="s">
        <v>44</v>
      </c>
      <c r="B47" s="45" t="e">
        <f>'   VL   '!I40</f>
        <v>#DIV/0!</v>
      </c>
      <c r="C47" s="32" t="s">
        <v>249</v>
      </c>
      <c r="D47" s="782" t="s">
        <v>193</v>
      </c>
      <c r="E47" s="782"/>
      <c r="F47" s="45" t="e">
        <f>'   VL   '!S40</f>
        <v>#DIV/0!</v>
      </c>
      <c r="G47" s="32" t="s">
        <v>249</v>
      </c>
      <c r="H47" s="51"/>
    </row>
    <row r="48" spans="1:8" ht="12" customHeight="1">
      <c r="A48" s="52" t="s">
        <v>45</v>
      </c>
      <c r="B48" s="45" t="e">
        <f>'   VL   '!J40</f>
        <v>#DIV/0!</v>
      </c>
      <c r="C48" s="32" t="s">
        <v>249</v>
      </c>
      <c r="D48" s="782" t="s">
        <v>56</v>
      </c>
      <c r="E48" s="782"/>
      <c r="F48" s="45" t="e">
        <f>'   VL   '!T40</f>
        <v>#DIV/0!</v>
      </c>
      <c r="G48" s="32" t="s">
        <v>249</v>
      </c>
      <c r="H48" s="51"/>
    </row>
    <row r="49" spans="1:8" ht="12" customHeight="1">
      <c r="A49" s="52" t="s">
        <v>46</v>
      </c>
      <c r="B49" s="46" t="e">
        <f>'   VL   '!K40</f>
        <v>#DIV/0!</v>
      </c>
      <c r="C49" s="32"/>
      <c r="D49" s="782" t="s">
        <v>57</v>
      </c>
      <c r="E49" s="782"/>
      <c r="F49" s="45" t="e">
        <f>'   VL   '!U40</f>
        <v>#DIV/0!</v>
      </c>
      <c r="G49" s="32" t="s">
        <v>249</v>
      </c>
      <c r="H49" s="51"/>
    </row>
    <row r="50" spans="1:8" ht="12" customHeight="1">
      <c r="A50" s="52" t="s">
        <v>48</v>
      </c>
      <c r="B50" s="45" t="e">
        <f>'   VL   '!L40</f>
        <v>#DIV/0!</v>
      </c>
      <c r="C50" s="32" t="s">
        <v>249</v>
      </c>
      <c r="D50" s="782" t="s">
        <v>51</v>
      </c>
      <c r="E50" s="782"/>
      <c r="F50" s="47" t="e">
        <f>'   VL   '!O40</f>
        <v>#DIV/0!</v>
      </c>
      <c r="G50" s="32" t="s">
        <v>249</v>
      </c>
      <c r="H50" s="51"/>
    </row>
    <row r="51" spans="1:8" ht="12" customHeight="1">
      <c r="A51" s="52" t="s">
        <v>49</v>
      </c>
      <c r="B51" s="45" t="e">
        <f>'   VL   '!M40</f>
        <v>#DIV/0!</v>
      </c>
      <c r="C51" s="32" t="s">
        <v>249</v>
      </c>
      <c r="D51" s="782" t="s">
        <v>52</v>
      </c>
      <c r="E51" s="782"/>
      <c r="F51" s="47" t="e">
        <f>'   VL   '!P40</f>
        <v>#DIV/0!</v>
      </c>
      <c r="G51" s="32" t="s">
        <v>249</v>
      </c>
      <c r="H51" s="51"/>
    </row>
    <row r="52" spans="1:8" ht="12" customHeight="1">
      <c r="A52" s="52" t="s">
        <v>250</v>
      </c>
      <c r="B52" s="45" t="e">
        <f>'   VL   '!N40</f>
        <v>#DIV/0!</v>
      </c>
      <c r="C52" s="32" t="s">
        <v>249</v>
      </c>
      <c r="D52" s="782" t="s">
        <v>251</v>
      </c>
      <c r="E52" s="782"/>
      <c r="F52" s="45" t="e">
        <f>'   VL   '!V40</f>
        <v>#DIV/0!</v>
      </c>
      <c r="G52" s="32" t="s">
        <v>249</v>
      </c>
      <c r="H52" s="51"/>
    </row>
    <row r="53" spans="1:8" ht="12" customHeight="1">
      <c r="A53" s="53" t="s">
        <v>192</v>
      </c>
      <c r="B53" s="54" t="e">
        <f>'   VL   '!Q40</f>
        <v>#DIV/0!</v>
      </c>
      <c r="C53" s="31" t="s">
        <v>249</v>
      </c>
      <c r="D53" s="31"/>
      <c r="E53" s="31"/>
      <c r="F53" s="31"/>
      <c r="G53" s="31"/>
      <c r="H53" s="55"/>
    </row>
    <row r="54" spans="1:8" ht="7.5" customHeight="1"/>
    <row r="55" spans="1:8" ht="15" customHeight="1">
      <c r="A55" s="79" t="s">
        <v>252</v>
      </c>
      <c r="B55" s="64"/>
      <c r="C55" s="64"/>
      <c r="D55" s="64"/>
      <c r="E55" s="64"/>
      <c r="F55" s="64"/>
      <c r="G55" s="64"/>
      <c r="H55" s="65"/>
    </row>
    <row r="56" spans="1:8" ht="12.9" customHeight="1">
      <c r="A56" s="288" t="s">
        <v>253</v>
      </c>
      <c r="H56" s="66"/>
    </row>
    <row r="57" spans="1:8" ht="12" customHeight="1">
      <c r="A57" s="50"/>
      <c r="H57" s="66"/>
    </row>
    <row r="58" spans="1:8" ht="12" customHeight="1">
      <c r="A58" s="50"/>
      <c r="H58" s="66"/>
    </row>
    <row r="59" spans="1:8" ht="15" customHeight="1">
      <c r="A59" s="67"/>
      <c r="B59" s="41"/>
      <c r="C59" s="41"/>
      <c r="D59" s="41"/>
      <c r="E59" s="41"/>
      <c r="F59" s="41"/>
      <c r="G59" s="41"/>
      <c r="H59" s="55"/>
    </row>
  </sheetData>
  <sheetProtection algorithmName="SHA-512" hashValue="lzFMbwYS1o2E+g1KiU67kDRl1Z92hwzr9rG5OyJ1CjWJMHjMqBBVeSJPImLq4Uj2bmgbCI0wwKJq3f2sxuFN6A==" saltValue="5EXIhXlqKKOA5Nsag19vkg==" spinCount="100000" sheet="1" objects="1" scenarios="1" selectLockedCells="1" selectUnlockedCells="1"/>
  <mergeCells count="9">
    <mergeCell ref="D51:E51"/>
    <mergeCell ref="A8:H8"/>
    <mergeCell ref="D52:E52"/>
    <mergeCell ref="G2:H2"/>
    <mergeCell ref="D46:E46"/>
    <mergeCell ref="D47:E47"/>
    <mergeCell ref="D48:E48"/>
    <mergeCell ref="D49:E49"/>
    <mergeCell ref="D50:E50"/>
  </mergeCells>
  <pageMargins left="0.23622047244094491" right="0.23622047244094491" top="0.35433070866141736" bottom="0.35433070866141736" header="0.31496062992125984" footer="0.31496062992125984"/>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93FBF-BD00-4E40-80EE-CC5802CD9038}">
  <sheetPr codeName="Feuil5">
    <tabColor rgb="FF9CD45E"/>
  </sheetPr>
  <dimension ref="A1:AU95"/>
  <sheetViews>
    <sheetView showGridLines="0" zoomScaleNormal="100" workbookViewId="0">
      <selection activeCell="C13" sqref="C13"/>
    </sheetView>
  </sheetViews>
  <sheetFormatPr baseColWidth="10" defaultColWidth="11.44140625" defaultRowHeight="13.8"/>
  <cols>
    <col min="1" max="1" width="4.6640625" style="109" customWidth="1"/>
    <col min="2" max="2" width="28.44140625" style="109" customWidth="1"/>
    <col min="3" max="3" width="5.6640625" style="109" customWidth="1"/>
    <col min="4" max="5" width="8.6640625" style="109" customWidth="1"/>
    <col min="6" max="6" width="10.109375" style="109" customWidth="1"/>
    <col min="7" max="18" width="8.6640625" style="109" customWidth="1"/>
    <col min="19" max="19" width="11.109375" style="109" customWidth="1"/>
    <col min="20" max="24" width="8.6640625" style="109" customWidth="1"/>
    <col min="25" max="29" width="11.44140625" style="109"/>
    <col min="30" max="30" width="11.44140625" style="295" customWidth="1"/>
    <col min="31" max="47" width="11.44140625" style="295"/>
    <col min="48" max="16384" width="11.44140625" style="109"/>
  </cols>
  <sheetData>
    <row r="1" spans="2:31" ht="25.5" customHeight="1">
      <c r="B1" s="775" t="s">
        <v>254</v>
      </c>
      <c r="C1" s="775"/>
      <c r="D1" s="775"/>
      <c r="E1" s="775"/>
      <c r="F1" s="775"/>
      <c r="G1" s="775"/>
      <c r="H1" s="775"/>
      <c r="I1" s="775"/>
      <c r="J1" s="775"/>
      <c r="K1" s="775"/>
      <c r="L1" s="775"/>
      <c r="M1" s="775"/>
      <c r="N1" s="775"/>
      <c r="O1" s="775"/>
      <c r="P1" s="775"/>
      <c r="Q1" s="775"/>
      <c r="R1" s="775"/>
      <c r="S1" s="775"/>
      <c r="T1" s="775"/>
      <c r="U1" s="775"/>
      <c r="V1" s="775"/>
      <c r="W1" s="775"/>
      <c r="X1" s="775"/>
    </row>
    <row r="2" spans="2:31" ht="14.4" thickBot="1">
      <c r="AE2" s="295" t="s">
        <v>255</v>
      </c>
    </row>
    <row r="3" spans="2:31" ht="16.8" thickTop="1" thickBot="1">
      <c r="B3" s="90" t="s">
        <v>158</v>
      </c>
      <c r="C3" s="777"/>
      <c r="D3" s="777"/>
      <c r="E3" s="777"/>
      <c r="F3" s="778"/>
      <c r="N3" s="1"/>
      <c r="O3" s="349" t="s">
        <v>159</v>
      </c>
      <c r="P3" s="350">
        <f>G37/H12</f>
        <v>0</v>
      </c>
      <c r="S3" s="111"/>
      <c r="T3" s="112" t="s">
        <v>160</v>
      </c>
      <c r="U3" s="111"/>
      <c r="V3" s="111"/>
      <c r="W3" s="111"/>
      <c r="AE3" s="295">
        <v>8</v>
      </c>
    </row>
    <row r="4" spans="2:31" ht="16.8" thickTop="1" thickBot="1">
      <c r="B4" s="92" t="s">
        <v>161</v>
      </c>
      <c r="C4" s="779"/>
      <c r="D4" s="779"/>
      <c r="E4" s="779"/>
      <c r="F4" s="779"/>
      <c r="N4" s="1"/>
      <c r="O4" s="349" t="s">
        <v>256</v>
      </c>
      <c r="P4" s="351" t="e">
        <f>W38</f>
        <v>#DIV/0!</v>
      </c>
      <c r="AE4" s="295">
        <v>9</v>
      </c>
    </row>
    <row r="5" spans="2:31" ht="16.8" thickTop="1" thickBot="1">
      <c r="B5" s="91" t="s">
        <v>163</v>
      </c>
      <c r="C5" s="780"/>
      <c r="D5" s="780"/>
      <c r="E5" s="780"/>
      <c r="F5" s="781"/>
    </row>
    <row r="6" spans="2:31" ht="9.75" customHeight="1">
      <c r="B6" s="1"/>
    </row>
    <row r="7" spans="2:31" ht="15.6">
      <c r="B7" s="11" t="s">
        <v>257</v>
      </c>
    </row>
    <row r="8" spans="2:31" ht="6" customHeight="1" thickBot="1">
      <c r="B8" s="1"/>
    </row>
    <row r="9" spans="2:31">
      <c r="B9" s="264" t="s">
        <v>167</v>
      </c>
      <c r="C9" s="114"/>
      <c r="D9" s="296">
        <v>680</v>
      </c>
      <c r="F9" s="18" t="s">
        <v>168</v>
      </c>
      <c r="G9" s="18"/>
      <c r="H9" s="217" t="s">
        <v>169</v>
      </c>
      <c r="I9" s="218" t="s">
        <v>42</v>
      </c>
      <c r="J9" s="218" t="s">
        <v>170</v>
      </c>
      <c r="K9" s="218" t="s">
        <v>172</v>
      </c>
      <c r="L9" s="218" t="s">
        <v>173</v>
      </c>
      <c r="M9" s="218" t="s">
        <v>46</v>
      </c>
      <c r="N9" s="218" t="s">
        <v>48</v>
      </c>
      <c r="O9" s="218" t="s">
        <v>49</v>
      </c>
      <c r="P9" s="219" t="s">
        <v>60</v>
      </c>
    </row>
    <row r="10" spans="2:31" ht="14.4" thickBot="1">
      <c r="B10" s="266" t="s">
        <v>255</v>
      </c>
      <c r="C10" s="297"/>
      <c r="D10" s="298">
        <v>9</v>
      </c>
      <c r="F10" s="322" t="s">
        <v>175</v>
      </c>
      <c r="G10" s="323"/>
      <c r="H10" s="324">
        <f>1.4*((D9/100)+2)</f>
        <v>12.32</v>
      </c>
      <c r="I10" s="325">
        <f>6.45*D9+1265</f>
        <v>5651</v>
      </c>
      <c r="J10" s="326">
        <f>(D9*0.1)+54</f>
        <v>122</v>
      </c>
      <c r="K10" s="327">
        <f>5*(D9/100)</f>
        <v>34</v>
      </c>
      <c r="L10" s="327">
        <f>3*(D9/100)</f>
        <v>20.399999999999999</v>
      </c>
      <c r="M10" s="328">
        <f>0.041*D9^0.75</f>
        <v>5.4596592880285257</v>
      </c>
      <c r="N10" s="327">
        <f>3.25*D9^0.75</f>
        <v>432.77787039250506</v>
      </c>
      <c r="O10" s="327">
        <f>3.25*D9^0.75</f>
        <v>432.77787039250506</v>
      </c>
      <c r="P10" s="329"/>
    </row>
    <row r="11" spans="2:31">
      <c r="B11" s="1"/>
      <c r="C11" s="290"/>
      <c r="D11" s="290"/>
      <c r="F11" s="330" t="s">
        <v>258</v>
      </c>
      <c r="G11" s="331"/>
      <c r="H11" s="332">
        <v>-1.5</v>
      </c>
      <c r="I11" s="333">
        <f>IF(D10=8,1500,2700)</f>
        <v>2700</v>
      </c>
      <c r="J11" s="333">
        <f>IF(D10=8,177,278)</f>
        <v>278</v>
      </c>
      <c r="K11" s="334">
        <v>15</v>
      </c>
      <c r="L11" s="334">
        <v>9</v>
      </c>
      <c r="M11" s="335">
        <f>IF(D10=8,1.25,2.06)</f>
        <v>2.06</v>
      </c>
      <c r="N11" s="333">
        <f>IF(D10=8,103,183)</f>
        <v>183</v>
      </c>
      <c r="O11" s="333">
        <f>IF(D10=8,103,183)</f>
        <v>183</v>
      </c>
      <c r="P11" s="336"/>
    </row>
    <row r="12" spans="2:31">
      <c r="B12" s="1"/>
      <c r="C12" s="290"/>
      <c r="D12" s="290"/>
      <c r="F12" s="337" t="s">
        <v>181</v>
      </c>
      <c r="G12" s="338"/>
      <c r="H12" s="339">
        <f>SUM(H10:H11)</f>
        <v>10.82</v>
      </c>
      <c r="I12" s="340">
        <f>SUM(I10:I11)</f>
        <v>8351</v>
      </c>
      <c r="J12" s="340">
        <f>SUM(J10:J11)</f>
        <v>400</v>
      </c>
      <c r="K12" s="340">
        <f>SUM(K10:K11)</f>
        <v>49</v>
      </c>
      <c r="L12" s="340">
        <f>SUM(L10:L11)</f>
        <v>29.4</v>
      </c>
      <c r="M12" s="341">
        <f>M10+M11</f>
        <v>7.5196592880285262</v>
      </c>
      <c r="N12" s="340">
        <f>N10+N11</f>
        <v>615.77787039250506</v>
      </c>
      <c r="O12" s="340">
        <f>O10+O11</f>
        <v>615.77787039250506</v>
      </c>
      <c r="P12" s="342"/>
    </row>
    <row r="13" spans="2:31">
      <c r="B13" s="1"/>
      <c r="C13" s="150"/>
      <c r="D13" s="150"/>
      <c r="F13" s="330" t="s">
        <v>184</v>
      </c>
      <c r="G13" s="343"/>
      <c r="H13" s="344">
        <v>1</v>
      </c>
      <c r="I13" s="345">
        <f>I12/$H$12</f>
        <v>771.81146025878002</v>
      </c>
      <c r="J13" s="345">
        <f>J12/$H$12</f>
        <v>36.968576709796672</v>
      </c>
      <c r="K13" s="346">
        <f t="shared" ref="K13:O13" si="0">K12/$H$12</f>
        <v>4.5286506469500925</v>
      </c>
      <c r="L13" s="346">
        <f t="shared" si="0"/>
        <v>2.7171903881700552</v>
      </c>
      <c r="M13" s="347">
        <f t="shared" si="0"/>
        <v>0.69497775305254395</v>
      </c>
      <c r="N13" s="345">
        <f t="shared" si="0"/>
        <v>56.91107859450139</v>
      </c>
      <c r="O13" s="345">
        <f t="shared" si="0"/>
        <v>56.91107859450139</v>
      </c>
      <c r="P13" s="348" t="s">
        <v>259</v>
      </c>
    </row>
    <row r="14" spans="2:31" ht="14.4">
      <c r="X14" s="125"/>
    </row>
    <row r="15" spans="2:31" ht="15.6">
      <c r="B15" s="11" t="s">
        <v>186</v>
      </c>
      <c r="C15" s="1"/>
      <c r="D15" s="1"/>
      <c r="E15" s="1"/>
      <c r="F15" s="1"/>
      <c r="G15" s="1"/>
      <c r="H15" s="1"/>
      <c r="I15" s="1"/>
      <c r="J15" s="1"/>
      <c r="K15" s="1"/>
      <c r="L15" s="1"/>
      <c r="M15" s="1"/>
      <c r="N15" s="1"/>
      <c r="O15" s="1"/>
      <c r="P15" s="1"/>
      <c r="Q15" s="1"/>
      <c r="R15" s="1"/>
      <c r="S15" s="1"/>
      <c r="T15" s="1"/>
      <c r="U15" s="1"/>
      <c r="V15" s="1"/>
      <c r="W15" s="1"/>
      <c r="X15" s="1"/>
    </row>
    <row r="16" spans="2:31" ht="6.75" customHeight="1" thickBot="1">
      <c r="B16" s="1"/>
      <c r="C16" s="1"/>
      <c r="D16" s="1"/>
      <c r="E16" s="1"/>
      <c r="F16" s="1"/>
      <c r="G16" s="1"/>
      <c r="H16" s="1"/>
      <c r="I16" s="1"/>
      <c r="J16" s="1"/>
      <c r="K16" s="1"/>
      <c r="L16" s="1"/>
      <c r="M16" s="1"/>
      <c r="N16" s="1"/>
      <c r="O16" s="1"/>
      <c r="P16" s="1"/>
      <c r="Q16" s="1"/>
      <c r="R16" s="1"/>
      <c r="S16" s="1"/>
      <c r="T16" s="1"/>
      <c r="U16" s="1"/>
      <c r="V16" s="1"/>
      <c r="W16" s="1"/>
      <c r="X16" s="1"/>
    </row>
    <row r="17" spans="1:47" s="132" customFormat="1" ht="31.5" customHeight="1">
      <c r="A17" s="130"/>
      <c r="B17" s="267" t="s">
        <v>40</v>
      </c>
      <c r="C17" s="246" t="s">
        <v>187</v>
      </c>
      <c r="D17" s="246" t="s">
        <v>188</v>
      </c>
      <c r="E17" s="246" t="s">
        <v>189</v>
      </c>
      <c r="F17" s="246" t="s">
        <v>190</v>
      </c>
      <c r="G17" s="246" t="s">
        <v>191</v>
      </c>
      <c r="H17" s="246" t="s">
        <v>42</v>
      </c>
      <c r="I17" s="246" t="s">
        <v>44</v>
      </c>
      <c r="J17" s="246" t="s">
        <v>45</v>
      </c>
      <c r="K17" s="246" t="s">
        <v>46</v>
      </c>
      <c r="L17" s="246" t="s">
        <v>48</v>
      </c>
      <c r="M17" s="246" t="s">
        <v>49</v>
      </c>
      <c r="N17" s="246" t="s">
        <v>50</v>
      </c>
      <c r="O17" s="246" t="s">
        <v>51</v>
      </c>
      <c r="P17" s="246" t="s">
        <v>52</v>
      </c>
      <c r="Q17" s="246" t="s">
        <v>192</v>
      </c>
      <c r="R17" s="246" t="s">
        <v>54</v>
      </c>
      <c r="S17" s="246" t="s">
        <v>193</v>
      </c>
      <c r="T17" s="246" t="s">
        <v>56</v>
      </c>
      <c r="U17" s="246" t="s">
        <v>57</v>
      </c>
      <c r="V17" s="246" t="s">
        <v>59</v>
      </c>
      <c r="W17" s="246" t="s">
        <v>60</v>
      </c>
      <c r="X17" s="273" t="s">
        <v>194</v>
      </c>
      <c r="AD17" s="299"/>
      <c r="AE17" s="299"/>
      <c r="AF17" s="299"/>
      <c r="AG17" s="299"/>
      <c r="AH17" s="299"/>
      <c r="AI17" s="299"/>
      <c r="AJ17" s="299"/>
      <c r="AK17" s="299"/>
      <c r="AL17" s="299"/>
      <c r="AM17" s="299"/>
      <c r="AN17" s="299"/>
      <c r="AO17" s="299"/>
      <c r="AP17" s="299"/>
      <c r="AQ17" s="299"/>
      <c r="AR17" s="299"/>
      <c r="AS17" s="299"/>
      <c r="AT17" s="299"/>
      <c r="AU17" s="299"/>
    </row>
    <row r="18" spans="1:47">
      <c r="A18" s="133"/>
      <c r="B18" s="134"/>
      <c r="C18" s="89" t="str">
        <f>IF(ISBLANK(B18),"",INDEX('Liste des aliments'!$B$6:$B$966,MATCH(B18,'Liste des aliments'!$C$6:$C$966,0)))</f>
        <v/>
      </c>
      <c r="D18" s="135"/>
      <c r="E18" s="136"/>
      <c r="F18" s="7" t="str">
        <f>IF(ISBLANK($B18)," ",VLOOKUP($B18,'Liste des aliments'!$C$6:$W$966,2,FALSE))</f>
        <v xml:space="preserve"> </v>
      </c>
      <c r="G18" s="8" t="str">
        <f>IF(ISBLANK(B18)," ",(D18*E18/100))</f>
        <v xml:space="preserve"> </v>
      </c>
      <c r="H18" s="9" t="str">
        <f>IF(ISBLANK($B18)," ",VLOOKUP($B18,'Liste des aliments'!$C$6:$W$966,3,FALSE))</f>
        <v xml:space="preserve"> </v>
      </c>
      <c r="I18" s="9" t="str">
        <f>IF(ISBLANK($B18)," ",VLOOKUP($B18,'Liste des aliments'!$C$6:$W$966,5,FALSE))</f>
        <v xml:space="preserve"> </v>
      </c>
      <c r="J18" s="9" t="str">
        <f>IF(ISBLANK($B18)," ",VLOOKUP($B18,'Liste des aliments'!$C$6:$W$966,6,FALSE))</f>
        <v xml:space="preserve"> </v>
      </c>
      <c r="K18" s="8" t="str">
        <f>IF(ISBLANK($B18)," ",VLOOKUP($B18,'Liste des aliments'!$C$6:$W$966,7,FALSE))</f>
        <v xml:space="preserve"> </v>
      </c>
      <c r="L18" s="9" t="str">
        <f>IF(ISBLANK($B18)," ",VLOOKUP($B18,'Liste des aliments'!$C$6:$W$966,9,FALSE))</f>
        <v xml:space="preserve"> </v>
      </c>
      <c r="M18" s="9" t="str">
        <f>IF(ISBLANK($B18)," ",VLOOKUP($B18,'Liste des aliments'!$C$6:$W$966,10,FALSE))</f>
        <v xml:space="preserve"> </v>
      </c>
      <c r="N18" s="9" t="str">
        <f>IF(ISBLANK($B18)," ",VLOOKUP($B18,'Liste des aliments'!$C$6:$W$966,11,FALSE))</f>
        <v xml:space="preserve"> </v>
      </c>
      <c r="O18" s="7" t="str">
        <f>IF(ISBLANK($B18)," ",VLOOKUP($B18,'Liste des aliments'!$C$6:$W$966,12,FALSE))</f>
        <v xml:space="preserve"> </v>
      </c>
      <c r="P18" s="7" t="str">
        <f>IF(ISBLANK($B18)," ",VLOOKUP($B18,'Liste des aliments'!$C$6:$W$966,13,FALSE))</f>
        <v xml:space="preserve"> </v>
      </c>
      <c r="Q18" s="9" t="str">
        <f>IF(ISBLANK($B18)," ",VLOOKUP($B18,'Liste des aliments'!$C$6:$W$966,14,FALSE))</f>
        <v xml:space="preserve"> </v>
      </c>
      <c r="R18" s="9" t="str">
        <f>IF(ISBLANK($B18)," ",VLOOKUP($B18,'Liste des aliments'!$C$6:$W$966,15,FALSE))</f>
        <v xml:space="preserve"> </v>
      </c>
      <c r="S18" s="9" t="str">
        <f>IF(ISBLANK($B18)," ",VLOOKUP($B18,'Liste des aliments'!$C$6:$W$966,16,FALSE))</f>
        <v xml:space="preserve"> </v>
      </c>
      <c r="T18" s="9" t="str">
        <f>IF(ISBLANK($B18)," ",VLOOKUP($B18,'Liste des aliments'!$C$6:$W$966,17,FALSE))</f>
        <v xml:space="preserve"> </v>
      </c>
      <c r="U18" s="9" t="str">
        <f>IF(ISBLANK($B18)," ",VLOOKUP($B18,'Liste des aliments'!$C$6:$W$966,18,FALSE))</f>
        <v xml:space="preserve"> </v>
      </c>
      <c r="V18" s="9" t="str">
        <f>IF(ISBLANK($B18)," ",VLOOKUP($B18,'Liste des aliments'!$C$6:$W$966,20,FALSE))</f>
        <v xml:space="preserve"> </v>
      </c>
      <c r="W18" s="9" t="str">
        <f>IF(ISBLANK($B18)," ",VLOOKUP($B18,'Liste des aliments'!$C$6:$W$966,21,FALSE))</f>
        <v xml:space="preserve"> </v>
      </c>
      <c r="X18" s="107"/>
    </row>
    <row r="19" spans="1:47">
      <c r="A19" s="133"/>
      <c r="B19" s="137"/>
      <c r="C19" s="89" t="str">
        <f>IF(ISBLANK(B19),"",INDEX('Liste des aliments'!$B$6:$B$966,MATCH(B19,'Liste des aliments'!$C$6:$C$966,0)))</f>
        <v/>
      </c>
      <c r="D19" s="138"/>
      <c r="E19" s="139"/>
      <c r="F19" s="13" t="str">
        <f>IF(ISBLANK($B19)," ",VLOOKUP($B19,'Liste des aliments'!$C$6:$W$966,2,FALSE))</f>
        <v xml:space="preserve"> </v>
      </c>
      <c r="G19" s="14" t="str">
        <f t="shared" ref="G19:G33" si="1">IF(ISBLANK(B19)," ",(D19*E19/100))</f>
        <v xml:space="preserve"> </v>
      </c>
      <c r="H19" s="12" t="str">
        <f>IF(ISBLANK($B19)," ",VLOOKUP($B19,'Liste des aliments'!$C$6:$W$966,3,FALSE))</f>
        <v xml:space="preserve"> </v>
      </c>
      <c r="I19" s="12" t="str">
        <f>IF(ISBLANK($B19)," ",VLOOKUP($B19,'Liste des aliments'!$C$6:$W$966,5,FALSE))</f>
        <v xml:space="preserve"> </v>
      </c>
      <c r="J19" s="12" t="str">
        <f>IF(ISBLANK($B19)," ",VLOOKUP($B19,'Liste des aliments'!$C$6:$W$966,6,FALSE))</f>
        <v xml:space="preserve"> </v>
      </c>
      <c r="K19" s="14" t="str">
        <f>IF(ISBLANK($B19)," ",VLOOKUP($B19,'Liste des aliments'!$C$6:$W$966,7,FALSE))</f>
        <v xml:space="preserve"> </v>
      </c>
      <c r="L19" s="12" t="str">
        <f>IF(ISBLANK($B19)," ",VLOOKUP($B19,'Liste des aliments'!$C$6:$W$966,9,FALSE))</f>
        <v xml:space="preserve"> </v>
      </c>
      <c r="M19" s="12" t="str">
        <f>IF(ISBLANK($B19)," ",VLOOKUP($B19,'Liste des aliments'!$C$6:$W$966,10,FALSE))</f>
        <v xml:space="preserve"> </v>
      </c>
      <c r="N19" s="12" t="str">
        <f>IF(ISBLANK($B19)," ",VLOOKUP($B19,'Liste des aliments'!$C$6:$W$966,11,FALSE))</f>
        <v xml:space="preserve"> </v>
      </c>
      <c r="O19" s="13" t="str">
        <f>IF(ISBLANK($B19)," ",VLOOKUP($B19,'Liste des aliments'!$C$6:$W$966,12,FALSE))</f>
        <v xml:space="preserve"> </v>
      </c>
      <c r="P19" s="13" t="str">
        <f>IF(ISBLANK($B19)," ",VLOOKUP($B19,'Liste des aliments'!$C$6:$W$966,13,FALSE))</f>
        <v xml:space="preserve"> </v>
      </c>
      <c r="Q19" s="12" t="str">
        <f>IF(ISBLANK($B19)," ",VLOOKUP($B19,'Liste des aliments'!$C$6:$W$966,14,FALSE))</f>
        <v xml:space="preserve"> </v>
      </c>
      <c r="R19" s="12" t="str">
        <f>IF(ISBLANK($B19)," ",VLOOKUP($B19,'Liste des aliments'!$C$6:$W$966,15,FALSE))</f>
        <v xml:space="preserve"> </v>
      </c>
      <c r="S19" s="12" t="str">
        <f>IF(ISBLANK($B19)," ",VLOOKUP($B19,'Liste des aliments'!$C$6:$W$966,16,FALSE))</f>
        <v xml:space="preserve"> </v>
      </c>
      <c r="T19" s="12" t="str">
        <f>IF(ISBLANK($B19)," ",VLOOKUP($B19,'Liste des aliments'!$C$6:$W$966,17,FALSE))</f>
        <v xml:space="preserve"> </v>
      </c>
      <c r="U19" s="12" t="str">
        <f>IF(ISBLANK($B19)," ",VLOOKUP($B19,'Liste des aliments'!$C$6:$W$966,18,FALSE))</f>
        <v xml:space="preserve"> </v>
      </c>
      <c r="V19" s="12" t="str">
        <f>IF(ISBLANK($B19)," ",VLOOKUP($B19,'Liste des aliments'!$C$6:$W$966,20,FALSE))</f>
        <v xml:space="preserve"> </v>
      </c>
      <c r="W19" s="12" t="str">
        <f>IF(ISBLANK($B19)," ",VLOOKUP($B19,'Liste des aliments'!$C$6:$W$966,21,FALSE))</f>
        <v xml:space="preserve"> </v>
      </c>
      <c r="X19" s="107"/>
    </row>
    <row r="20" spans="1:47">
      <c r="A20" s="133"/>
      <c r="B20" s="137"/>
      <c r="C20" s="89" t="str">
        <f>IF(ISBLANK(B20),"",INDEX('Liste des aliments'!$B$6:$B$966,MATCH(B20,'Liste des aliments'!$C$6:$C$966,0)))</f>
        <v/>
      </c>
      <c r="D20" s="138"/>
      <c r="E20" s="139"/>
      <c r="F20" s="13" t="str">
        <f>IF(ISBLANK($B20)," ",VLOOKUP($B20,'Liste des aliments'!$C$6:$W$966,2,FALSE))</f>
        <v xml:space="preserve"> </v>
      </c>
      <c r="G20" s="14" t="str">
        <f t="shared" si="1"/>
        <v xml:space="preserve"> </v>
      </c>
      <c r="H20" s="12" t="str">
        <f>IF(ISBLANK($B20)," ",VLOOKUP($B20,'Liste des aliments'!$C$6:$W$966,3,FALSE))</f>
        <v xml:space="preserve"> </v>
      </c>
      <c r="I20" s="12" t="str">
        <f>IF(ISBLANK($B20)," ",VLOOKUP($B20,'Liste des aliments'!$C$6:$W$966,5,FALSE))</f>
        <v xml:space="preserve"> </v>
      </c>
      <c r="J20" s="12" t="str">
        <f>IF(ISBLANK($B20)," ",VLOOKUP($B20,'Liste des aliments'!$C$6:$W$966,6,FALSE))</f>
        <v xml:space="preserve"> </v>
      </c>
      <c r="K20" s="14" t="str">
        <f>IF(ISBLANK($B20)," ",VLOOKUP($B20,'Liste des aliments'!$C$6:$W$966,7,FALSE))</f>
        <v xml:space="preserve"> </v>
      </c>
      <c r="L20" s="12" t="str">
        <f>IF(ISBLANK($B20)," ",VLOOKUP($B20,'Liste des aliments'!$C$6:$W$966,9,FALSE))</f>
        <v xml:space="preserve"> </v>
      </c>
      <c r="M20" s="12" t="str">
        <f>IF(ISBLANK($B20)," ",VLOOKUP($B20,'Liste des aliments'!$C$6:$W$966,10,FALSE))</f>
        <v xml:space="preserve"> </v>
      </c>
      <c r="N20" s="12" t="str">
        <f>IF(ISBLANK($B20)," ",VLOOKUP($B20,'Liste des aliments'!$C$6:$W$966,11,FALSE))</f>
        <v xml:space="preserve"> </v>
      </c>
      <c r="O20" s="13" t="str">
        <f>IF(ISBLANK($B20)," ",VLOOKUP($B20,'Liste des aliments'!$C$6:$W$966,12,FALSE))</f>
        <v xml:space="preserve"> </v>
      </c>
      <c r="P20" s="13" t="str">
        <f>IF(ISBLANK($B20)," ",VLOOKUP($B20,'Liste des aliments'!$C$6:$W$966,13,FALSE))</f>
        <v xml:space="preserve"> </v>
      </c>
      <c r="Q20" s="12" t="str">
        <f>IF(ISBLANK($B20)," ",VLOOKUP($B20,'Liste des aliments'!$C$6:$W$966,14,FALSE))</f>
        <v xml:space="preserve"> </v>
      </c>
      <c r="R20" s="12" t="str">
        <f>IF(ISBLANK($B20)," ",VLOOKUP($B20,'Liste des aliments'!$C$6:$W$966,15,FALSE))</f>
        <v xml:space="preserve"> </v>
      </c>
      <c r="S20" s="12" t="str">
        <f>IF(ISBLANK($B20)," ",VLOOKUP($B20,'Liste des aliments'!$C$6:$W$966,16,FALSE))</f>
        <v xml:space="preserve"> </v>
      </c>
      <c r="T20" s="12" t="str">
        <f>IF(ISBLANK($B20)," ",VLOOKUP($B20,'Liste des aliments'!$C$6:$W$966,17,FALSE))</f>
        <v xml:space="preserve"> </v>
      </c>
      <c r="U20" s="12" t="str">
        <f>IF(ISBLANK($B20)," ",VLOOKUP($B20,'Liste des aliments'!$C$6:$W$966,18,FALSE))</f>
        <v xml:space="preserve"> </v>
      </c>
      <c r="V20" s="12" t="str">
        <f>IF(ISBLANK($B20)," ",VLOOKUP($B20,'Liste des aliments'!$C$6:$W$966,20,FALSE))</f>
        <v xml:space="preserve"> </v>
      </c>
      <c r="W20" s="12" t="str">
        <f>IF(ISBLANK($B20)," ",VLOOKUP($B20,'Liste des aliments'!$C$6:$W$966,21,FALSE))</f>
        <v xml:space="preserve"> </v>
      </c>
      <c r="X20" s="107"/>
    </row>
    <row r="21" spans="1:47" ht="15.6">
      <c r="A21" s="133"/>
      <c r="B21" s="137"/>
      <c r="C21" s="89" t="str">
        <f>IF(ISBLANK(B21),"",INDEX('Liste des aliments'!$B$6:$B$966,MATCH(B21,'Liste des aliments'!$C$6:$C$966,0)))</f>
        <v/>
      </c>
      <c r="D21" s="138"/>
      <c r="E21" s="139"/>
      <c r="F21" s="13" t="str">
        <f>IF(ISBLANK($B21)," ",VLOOKUP($B21,'Liste des aliments'!$C$6:$W$966,2,FALSE))</f>
        <v xml:space="preserve"> </v>
      </c>
      <c r="G21" s="14" t="str">
        <f t="shared" si="1"/>
        <v xml:space="preserve"> </v>
      </c>
      <c r="H21" s="12" t="str">
        <f>IF(ISBLANK($B21)," ",VLOOKUP($B21,'Liste des aliments'!$C$6:$W$966,3,FALSE))</f>
        <v xml:space="preserve"> </v>
      </c>
      <c r="I21" s="12" t="str">
        <f>IF(ISBLANK($B21)," ",VLOOKUP($B21,'Liste des aliments'!$C$6:$W$966,5,FALSE))</f>
        <v xml:space="preserve"> </v>
      </c>
      <c r="J21" s="12" t="str">
        <f>IF(ISBLANK($B21)," ",VLOOKUP($B21,'Liste des aliments'!$C$6:$W$966,6,FALSE))</f>
        <v xml:space="preserve"> </v>
      </c>
      <c r="K21" s="14" t="str">
        <f>IF(ISBLANK($B21)," ",VLOOKUP($B21,'Liste des aliments'!$C$6:$W$966,7,FALSE))</f>
        <v xml:space="preserve"> </v>
      </c>
      <c r="L21" s="12" t="str">
        <f>IF(ISBLANK($B21)," ",VLOOKUP($B21,'Liste des aliments'!$C$6:$W$966,9,FALSE))</f>
        <v xml:space="preserve"> </v>
      </c>
      <c r="M21" s="12" t="str">
        <f>IF(ISBLANK($B21)," ",VLOOKUP($B21,'Liste des aliments'!$C$6:$W$966,10,FALSE))</f>
        <v xml:space="preserve"> </v>
      </c>
      <c r="N21" s="12" t="str">
        <f>IF(ISBLANK($B21)," ",VLOOKUP($B21,'Liste des aliments'!$C$6:$W$966,11,FALSE))</f>
        <v xml:space="preserve"> </v>
      </c>
      <c r="O21" s="13" t="str">
        <f>IF(ISBLANK($B21)," ",VLOOKUP($B21,'Liste des aliments'!$C$6:$W$966,12,FALSE))</f>
        <v xml:space="preserve"> </v>
      </c>
      <c r="P21" s="13" t="str">
        <f>IF(ISBLANK($B21)," ",VLOOKUP($B21,'Liste des aliments'!$C$6:$W$966,13,FALSE))</f>
        <v xml:space="preserve"> </v>
      </c>
      <c r="Q21" s="12" t="str">
        <f>IF(ISBLANK($B21)," ",VLOOKUP($B21,'Liste des aliments'!$C$6:$W$966,14,FALSE))</f>
        <v xml:space="preserve"> </v>
      </c>
      <c r="R21" s="12" t="str">
        <f>IF(ISBLANK($B21)," ",VLOOKUP($B21,'Liste des aliments'!$C$6:$W$966,15,FALSE))</f>
        <v xml:space="preserve"> </v>
      </c>
      <c r="S21" s="12" t="str">
        <f>IF(ISBLANK($B21)," ",VLOOKUP($B21,'Liste des aliments'!$C$6:$W$966,16,FALSE))</f>
        <v xml:space="preserve"> </v>
      </c>
      <c r="T21" s="12" t="str">
        <f>IF(ISBLANK($B21)," ",VLOOKUP($B21,'Liste des aliments'!$C$6:$W$966,17,FALSE))</f>
        <v xml:space="preserve"> </v>
      </c>
      <c r="U21" s="12" t="str">
        <f>IF(ISBLANK($B21)," ",VLOOKUP($B21,'Liste des aliments'!$C$6:$W$966,18,FALSE))</f>
        <v xml:space="preserve"> </v>
      </c>
      <c r="V21" s="12" t="str">
        <f>IF(ISBLANK($B21)," ",VLOOKUP($B21,'Liste des aliments'!$C$6:$W$966,20,FALSE))</f>
        <v xml:space="preserve"> </v>
      </c>
      <c r="W21" s="12" t="str">
        <f>IF(ISBLANK($B21)," ",VLOOKUP($B21,'Liste des aliments'!$C$6:$W$966,21,FALSE))</f>
        <v xml:space="preserve"> </v>
      </c>
      <c r="X21" s="107"/>
      <c r="AA21" s="141"/>
    </row>
    <row r="22" spans="1:47" ht="14.4">
      <c r="A22" s="133"/>
      <c r="B22" s="137"/>
      <c r="C22" s="89" t="str">
        <f>IF(ISBLANK(B22),"",INDEX('Liste des aliments'!$B$6:$B$966,MATCH(B22,'Liste des aliments'!$C$6:$C$966,0)))</f>
        <v/>
      </c>
      <c r="D22" s="138"/>
      <c r="E22" s="139"/>
      <c r="F22" s="13" t="str">
        <f>IF(ISBLANK($B22)," ",VLOOKUP($B22,'Liste des aliments'!$C$6:$W$966,2,FALSE))</f>
        <v xml:space="preserve"> </v>
      </c>
      <c r="G22" s="14" t="str">
        <f t="shared" si="1"/>
        <v xml:space="preserve"> </v>
      </c>
      <c r="H22" s="12" t="str">
        <f>IF(ISBLANK($B22)," ",VLOOKUP($B22,'Liste des aliments'!$C$6:$W$966,3,FALSE))</f>
        <v xml:space="preserve"> </v>
      </c>
      <c r="I22" s="12" t="str">
        <f>IF(ISBLANK($B22)," ",VLOOKUP($B22,'Liste des aliments'!$C$6:$W$966,5,FALSE))</f>
        <v xml:space="preserve"> </v>
      </c>
      <c r="J22" s="12" t="str">
        <f>IF(ISBLANK($B22)," ",VLOOKUP($B22,'Liste des aliments'!$C$6:$W$966,6,FALSE))</f>
        <v xml:space="preserve"> </v>
      </c>
      <c r="K22" s="14" t="str">
        <f>IF(ISBLANK($B22)," ",VLOOKUP($B22,'Liste des aliments'!$C$6:$W$966,7,FALSE))</f>
        <v xml:space="preserve"> </v>
      </c>
      <c r="L22" s="12" t="str">
        <f>IF(ISBLANK($B22)," ",VLOOKUP($B22,'Liste des aliments'!$C$6:$W$966,9,FALSE))</f>
        <v xml:space="preserve"> </v>
      </c>
      <c r="M22" s="12" t="str">
        <f>IF(ISBLANK($B22)," ",VLOOKUP($B22,'Liste des aliments'!$C$6:$W$966,10,FALSE))</f>
        <v xml:space="preserve"> </v>
      </c>
      <c r="N22" s="12" t="str">
        <f>IF(ISBLANK($B22)," ",VLOOKUP($B22,'Liste des aliments'!$C$6:$W$966,11,FALSE))</f>
        <v xml:space="preserve"> </v>
      </c>
      <c r="O22" s="13" t="str">
        <f>IF(ISBLANK($B22)," ",VLOOKUP($B22,'Liste des aliments'!$C$6:$W$966,12,FALSE))</f>
        <v xml:space="preserve"> </v>
      </c>
      <c r="P22" s="13" t="str">
        <f>IF(ISBLANK($B22)," ",VLOOKUP($B22,'Liste des aliments'!$C$6:$W$966,13,FALSE))</f>
        <v xml:space="preserve"> </v>
      </c>
      <c r="Q22" s="12" t="str">
        <f>IF(ISBLANK($B22)," ",VLOOKUP($B22,'Liste des aliments'!$C$6:$W$966,14,FALSE))</f>
        <v xml:space="preserve"> </v>
      </c>
      <c r="R22" s="12" t="str">
        <f>IF(ISBLANK($B22)," ",VLOOKUP($B22,'Liste des aliments'!$C$6:$W$966,15,FALSE))</f>
        <v xml:space="preserve"> </v>
      </c>
      <c r="S22" s="12" t="str">
        <f>IF(ISBLANK($B22)," ",VLOOKUP($B22,'Liste des aliments'!$C$6:$W$966,16,FALSE))</f>
        <v xml:space="preserve"> </v>
      </c>
      <c r="T22" s="12" t="str">
        <f>IF(ISBLANK($B22)," ",VLOOKUP($B22,'Liste des aliments'!$C$6:$W$966,17,FALSE))</f>
        <v xml:space="preserve"> </v>
      </c>
      <c r="U22" s="12" t="str">
        <f>IF(ISBLANK($B22)," ",VLOOKUP($B22,'Liste des aliments'!$C$6:$W$966,18,FALSE))</f>
        <v xml:space="preserve"> </v>
      </c>
      <c r="V22" s="12" t="str">
        <f>IF(ISBLANK($B22)," ",VLOOKUP($B22,'Liste des aliments'!$C$6:$W$966,20,FALSE))</f>
        <v xml:space="preserve"> </v>
      </c>
      <c r="W22" s="12" t="str">
        <f>IF(ISBLANK($B22)," ",VLOOKUP($B22,'Liste des aliments'!$C$6:$W$966,21,FALSE))</f>
        <v xml:space="preserve"> </v>
      </c>
      <c r="X22" s="107"/>
      <c r="AA22" s="300"/>
    </row>
    <row r="23" spans="1:47">
      <c r="A23" s="133"/>
      <c r="B23" s="137"/>
      <c r="C23" s="89" t="str">
        <f>IF(ISBLANK(B23),"",INDEX('Liste des aliments'!$B$6:$B$966,MATCH(B23,'Liste des aliments'!$C$6:$C$966,0)))</f>
        <v/>
      </c>
      <c r="D23" s="138"/>
      <c r="E23" s="139"/>
      <c r="F23" s="13" t="str">
        <f>IF(ISBLANK($B23)," ",VLOOKUP($B23,'Liste des aliments'!$C$6:$W$966,2,FALSE))</f>
        <v xml:space="preserve"> </v>
      </c>
      <c r="G23" s="14" t="str">
        <f t="shared" si="1"/>
        <v xml:space="preserve"> </v>
      </c>
      <c r="H23" s="12" t="str">
        <f>IF(ISBLANK($B23)," ",VLOOKUP($B23,'Liste des aliments'!$C$6:$W$966,3,FALSE))</f>
        <v xml:space="preserve"> </v>
      </c>
      <c r="I23" s="12" t="str">
        <f>IF(ISBLANK($B23)," ",VLOOKUP($B23,'Liste des aliments'!$C$6:$W$966,5,FALSE))</f>
        <v xml:space="preserve"> </v>
      </c>
      <c r="J23" s="12" t="str">
        <f>IF(ISBLANK($B23)," ",VLOOKUP($B23,'Liste des aliments'!$C$6:$W$966,6,FALSE))</f>
        <v xml:space="preserve"> </v>
      </c>
      <c r="K23" s="14" t="str">
        <f>IF(ISBLANK($B23)," ",VLOOKUP($B23,'Liste des aliments'!$C$6:$W$966,7,FALSE))</f>
        <v xml:space="preserve"> </v>
      </c>
      <c r="L23" s="12" t="str">
        <f>IF(ISBLANK($B23)," ",VLOOKUP($B23,'Liste des aliments'!$C$6:$W$966,9,FALSE))</f>
        <v xml:space="preserve"> </v>
      </c>
      <c r="M23" s="12" t="str">
        <f>IF(ISBLANK($B23)," ",VLOOKUP($B23,'Liste des aliments'!$C$6:$W$966,10,FALSE))</f>
        <v xml:space="preserve"> </v>
      </c>
      <c r="N23" s="12" t="str">
        <f>IF(ISBLANK($B23)," ",VLOOKUP($B23,'Liste des aliments'!$C$6:$W$966,11,FALSE))</f>
        <v xml:space="preserve"> </v>
      </c>
      <c r="O23" s="13" t="str">
        <f>IF(ISBLANK($B23)," ",VLOOKUP($B23,'Liste des aliments'!$C$6:$W$966,12,FALSE))</f>
        <v xml:space="preserve"> </v>
      </c>
      <c r="P23" s="13" t="str">
        <f>IF(ISBLANK($B23)," ",VLOOKUP($B23,'Liste des aliments'!$C$6:$W$966,13,FALSE))</f>
        <v xml:space="preserve"> </v>
      </c>
      <c r="Q23" s="12" t="str">
        <f>IF(ISBLANK($B23)," ",VLOOKUP($B23,'Liste des aliments'!$C$6:$W$966,14,FALSE))</f>
        <v xml:space="preserve"> </v>
      </c>
      <c r="R23" s="12" t="str">
        <f>IF(ISBLANK($B23)," ",VLOOKUP($B23,'Liste des aliments'!$C$6:$W$966,15,FALSE))</f>
        <v xml:space="preserve"> </v>
      </c>
      <c r="S23" s="12" t="str">
        <f>IF(ISBLANK($B23)," ",VLOOKUP($B23,'Liste des aliments'!$C$6:$W$966,16,FALSE))</f>
        <v xml:space="preserve"> </v>
      </c>
      <c r="T23" s="12" t="str">
        <f>IF(ISBLANK($B23)," ",VLOOKUP($B23,'Liste des aliments'!$C$6:$W$966,17,FALSE))</f>
        <v xml:space="preserve"> </v>
      </c>
      <c r="U23" s="12" t="str">
        <f>IF(ISBLANK($B23)," ",VLOOKUP($B23,'Liste des aliments'!$C$6:$W$966,18,FALSE))</f>
        <v xml:space="preserve"> </v>
      </c>
      <c r="V23" s="12" t="str">
        <f>IF(ISBLANK($B23)," ",VLOOKUP($B23,'Liste des aliments'!$C$6:$W$966,20,FALSE))</f>
        <v xml:space="preserve"> </v>
      </c>
      <c r="W23" s="12" t="str">
        <f>IF(ISBLANK($B23)," ",VLOOKUP($B23,'Liste des aliments'!$C$6:$W$966,21,FALSE))</f>
        <v xml:space="preserve"> </v>
      </c>
      <c r="X23" s="107"/>
    </row>
    <row r="24" spans="1:47">
      <c r="A24" s="133"/>
      <c r="B24" s="137"/>
      <c r="C24" s="89" t="str">
        <f>IF(ISBLANK(B24),"",INDEX('Liste des aliments'!$B$6:$B$966,MATCH(B24,'Liste des aliments'!$C$6:$C$966,0)))</f>
        <v/>
      </c>
      <c r="D24" s="138"/>
      <c r="E24" s="139"/>
      <c r="F24" s="13" t="str">
        <f>IF(ISBLANK($B24)," ",VLOOKUP($B24,'Liste des aliments'!$C$6:$W$966,2,FALSE))</f>
        <v xml:space="preserve"> </v>
      </c>
      <c r="G24" s="14" t="str">
        <f t="shared" si="1"/>
        <v xml:space="preserve"> </v>
      </c>
      <c r="H24" s="12" t="str">
        <f>IF(ISBLANK($B24)," ",VLOOKUP($B24,'Liste des aliments'!$C$6:$W$966,3,FALSE))</f>
        <v xml:space="preserve"> </v>
      </c>
      <c r="I24" s="12" t="str">
        <f>IF(ISBLANK($B24)," ",VLOOKUP($B24,'Liste des aliments'!$C$6:$W$966,5,FALSE))</f>
        <v xml:space="preserve"> </v>
      </c>
      <c r="J24" s="12" t="str">
        <f>IF(ISBLANK($B24)," ",VLOOKUP($B24,'Liste des aliments'!$C$6:$W$966,6,FALSE))</f>
        <v xml:space="preserve"> </v>
      </c>
      <c r="K24" s="14" t="str">
        <f>IF(ISBLANK($B24)," ",VLOOKUP($B24,'Liste des aliments'!$C$6:$W$966,7,FALSE))</f>
        <v xml:space="preserve"> </v>
      </c>
      <c r="L24" s="12" t="str">
        <f>IF(ISBLANK($B24)," ",VLOOKUP($B24,'Liste des aliments'!$C$6:$W$966,9,FALSE))</f>
        <v xml:space="preserve"> </v>
      </c>
      <c r="M24" s="12" t="str">
        <f>IF(ISBLANK($B24)," ",VLOOKUP($B24,'Liste des aliments'!$C$6:$W$966,10,FALSE))</f>
        <v xml:space="preserve"> </v>
      </c>
      <c r="N24" s="12" t="str">
        <f>IF(ISBLANK($B24)," ",VLOOKUP($B24,'Liste des aliments'!$C$6:$W$966,11,FALSE))</f>
        <v xml:space="preserve"> </v>
      </c>
      <c r="O24" s="13" t="str">
        <f>IF(ISBLANK($B24)," ",VLOOKUP($B24,'Liste des aliments'!$C$6:$W$966,12,FALSE))</f>
        <v xml:space="preserve"> </v>
      </c>
      <c r="P24" s="13" t="str">
        <f>IF(ISBLANK($B24)," ",VLOOKUP($B24,'Liste des aliments'!$C$6:$W$966,13,FALSE))</f>
        <v xml:space="preserve"> </v>
      </c>
      <c r="Q24" s="12" t="str">
        <f>IF(ISBLANK($B24)," ",VLOOKUP($B24,'Liste des aliments'!$C$6:$W$966,14,FALSE))</f>
        <v xml:space="preserve"> </v>
      </c>
      <c r="R24" s="12" t="str">
        <f>IF(ISBLANK($B24)," ",VLOOKUP($B24,'Liste des aliments'!$C$6:$W$966,15,FALSE))</f>
        <v xml:space="preserve"> </v>
      </c>
      <c r="S24" s="12" t="str">
        <f>IF(ISBLANK($B24)," ",VLOOKUP($B24,'Liste des aliments'!$C$6:$W$966,16,FALSE))</f>
        <v xml:space="preserve"> </v>
      </c>
      <c r="T24" s="12" t="str">
        <f>IF(ISBLANK($B24)," ",VLOOKUP($B24,'Liste des aliments'!$C$6:$W$966,17,FALSE))</f>
        <v xml:space="preserve"> </v>
      </c>
      <c r="U24" s="12" t="str">
        <f>IF(ISBLANK($B24)," ",VLOOKUP($B24,'Liste des aliments'!$C$6:$W$966,18,FALSE))</f>
        <v xml:space="preserve"> </v>
      </c>
      <c r="V24" s="12" t="str">
        <f>IF(ISBLANK($B24)," ",VLOOKUP($B24,'Liste des aliments'!$C$6:$W$966,20,FALSE))</f>
        <v xml:space="preserve"> </v>
      </c>
      <c r="W24" s="12" t="str">
        <f>IF(ISBLANK($B24)," ",VLOOKUP($B24,'Liste des aliments'!$C$6:$W$966,21,FALSE))</f>
        <v xml:space="preserve"> </v>
      </c>
      <c r="X24" s="107"/>
    </row>
    <row r="25" spans="1:47">
      <c r="A25" s="133"/>
      <c r="B25" s="137"/>
      <c r="C25" s="89" t="str">
        <f>IF(ISBLANK(B25),"",INDEX('Liste des aliments'!$B$6:$B$966,MATCH(B25,'Liste des aliments'!$C$6:$C$966,0)))</f>
        <v/>
      </c>
      <c r="D25" s="138"/>
      <c r="E25" s="139"/>
      <c r="F25" s="13" t="str">
        <f>IF(ISBLANK($B25)," ",VLOOKUP($B25,'Liste des aliments'!$C$6:$W$966,2,FALSE))</f>
        <v xml:space="preserve"> </v>
      </c>
      <c r="G25" s="14" t="str">
        <f t="shared" si="1"/>
        <v xml:space="preserve"> </v>
      </c>
      <c r="H25" s="12" t="str">
        <f>IF(ISBLANK($B25)," ",VLOOKUP($B25,'Liste des aliments'!$C$6:$W$966,3,FALSE))</f>
        <v xml:space="preserve"> </v>
      </c>
      <c r="I25" s="12" t="str">
        <f>IF(ISBLANK($B25)," ",VLOOKUP($B25,'Liste des aliments'!$C$6:$W$966,5,FALSE))</f>
        <v xml:space="preserve"> </v>
      </c>
      <c r="J25" s="12" t="str">
        <f>IF(ISBLANK($B25)," ",VLOOKUP($B25,'Liste des aliments'!$C$6:$W$966,6,FALSE))</f>
        <v xml:space="preserve"> </v>
      </c>
      <c r="K25" s="14" t="str">
        <f>IF(ISBLANK($B25)," ",VLOOKUP($B25,'Liste des aliments'!$C$6:$W$966,7,FALSE))</f>
        <v xml:space="preserve"> </v>
      </c>
      <c r="L25" s="12" t="str">
        <f>IF(ISBLANK($B25)," ",VLOOKUP($B25,'Liste des aliments'!$C$6:$W$966,9,FALSE))</f>
        <v xml:space="preserve"> </v>
      </c>
      <c r="M25" s="12" t="str">
        <f>IF(ISBLANK($B25)," ",VLOOKUP($B25,'Liste des aliments'!$C$6:$W$966,10,FALSE))</f>
        <v xml:space="preserve"> </v>
      </c>
      <c r="N25" s="12" t="str">
        <f>IF(ISBLANK($B25)," ",VLOOKUP($B25,'Liste des aliments'!$C$6:$W$966,11,FALSE))</f>
        <v xml:space="preserve"> </v>
      </c>
      <c r="O25" s="13" t="str">
        <f>IF(ISBLANK($B25)," ",VLOOKUP($B25,'Liste des aliments'!$C$6:$W$966,12,FALSE))</f>
        <v xml:space="preserve"> </v>
      </c>
      <c r="P25" s="13" t="str">
        <f>IF(ISBLANK($B25)," ",VLOOKUP($B25,'Liste des aliments'!$C$6:$W$966,13,FALSE))</f>
        <v xml:space="preserve"> </v>
      </c>
      <c r="Q25" s="12" t="str">
        <f>IF(ISBLANK($B25)," ",VLOOKUP($B25,'Liste des aliments'!$C$6:$W$966,14,FALSE))</f>
        <v xml:space="preserve"> </v>
      </c>
      <c r="R25" s="12" t="str">
        <f>IF(ISBLANK($B25)," ",VLOOKUP($B25,'Liste des aliments'!$C$6:$W$966,15,FALSE))</f>
        <v xml:space="preserve"> </v>
      </c>
      <c r="S25" s="12" t="str">
        <f>IF(ISBLANK($B25)," ",VLOOKUP($B25,'Liste des aliments'!$C$6:$W$966,16,FALSE))</f>
        <v xml:space="preserve"> </v>
      </c>
      <c r="T25" s="12" t="str">
        <f>IF(ISBLANK($B25)," ",VLOOKUP($B25,'Liste des aliments'!$C$6:$W$966,17,FALSE))</f>
        <v xml:space="preserve"> </v>
      </c>
      <c r="U25" s="12" t="str">
        <f>IF(ISBLANK($B25)," ",VLOOKUP($B25,'Liste des aliments'!$C$6:$W$966,18,FALSE))</f>
        <v xml:space="preserve"> </v>
      </c>
      <c r="V25" s="12" t="str">
        <f>IF(ISBLANK($B25)," ",VLOOKUP($B25,'Liste des aliments'!$C$6:$W$966,20,FALSE))</f>
        <v xml:space="preserve"> </v>
      </c>
      <c r="W25" s="12" t="str">
        <f>IF(ISBLANK($B25)," ",VLOOKUP($B25,'Liste des aliments'!$C$6:$W$966,21,FALSE))</f>
        <v xml:space="preserve"> </v>
      </c>
      <c r="X25" s="107"/>
    </row>
    <row r="26" spans="1:47">
      <c r="A26" s="133"/>
      <c r="B26" s="137"/>
      <c r="C26" s="89" t="str">
        <f>IF(ISBLANK(B26),"",INDEX('Liste des aliments'!$B$6:$B$966,MATCH(B26,'Liste des aliments'!$C$6:$C$966,0)))</f>
        <v/>
      </c>
      <c r="D26" s="138"/>
      <c r="E26" s="139"/>
      <c r="F26" s="13" t="str">
        <f>IF(ISBLANK($B26)," ",VLOOKUP($B26,'Liste des aliments'!$C$6:$W$966,2,FALSE))</f>
        <v xml:space="preserve"> </v>
      </c>
      <c r="G26" s="14" t="str">
        <f t="shared" si="1"/>
        <v xml:space="preserve"> </v>
      </c>
      <c r="H26" s="12" t="str">
        <f>IF(ISBLANK($B26)," ",VLOOKUP($B26,'Liste des aliments'!$C$6:$W$966,3,FALSE))</f>
        <v xml:space="preserve"> </v>
      </c>
      <c r="I26" s="12" t="str">
        <f>IF(ISBLANK($B26)," ",VLOOKUP($B26,'Liste des aliments'!$C$6:$W$966,5,FALSE))</f>
        <v xml:space="preserve"> </v>
      </c>
      <c r="J26" s="12" t="str">
        <f>IF(ISBLANK($B26)," ",VLOOKUP($B26,'Liste des aliments'!$C$6:$W$966,6,FALSE))</f>
        <v xml:space="preserve"> </v>
      </c>
      <c r="K26" s="14" t="str">
        <f>IF(ISBLANK($B26)," ",VLOOKUP($B26,'Liste des aliments'!$C$6:$W$966,7,FALSE))</f>
        <v xml:space="preserve"> </v>
      </c>
      <c r="L26" s="12" t="str">
        <f>IF(ISBLANK($B26)," ",VLOOKUP($B26,'Liste des aliments'!$C$6:$W$966,9,FALSE))</f>
        <v xml:space="preserve"> </v>
      </c>
      <c r="M26" s="12" t="str">
        <f>IF(ISBLANK($B26)," ",VLOOKUP($B26,'Liste des aliments'!$C$6:$W$966,10,FALSE))</f>
        <v xml:space="preserve"> </v>
      </c>
      <c r="N26" s="12" t="str">
        <f>IF(ISBLANK($B26)," ",VLOOKUP($B26,'Liste des aliments'!$C$6:$W$966,11,FALSE))</f>
        <v xml:space="preserve"> </v>
      </c>
      <c r="O26" s="13" t="str">
        <f>IF(ISBLANK($B26)," ",VLOOKUP($B26,'Liste des aliments'!$C$6:$W$966,12,FALSE))</f>
        <v xml:space="preserve"> </v>
      </c>
      <c r="P26" s="13" t="str">
        <f>IF(ISBLANK($B26)," ",VLOOKUP($B26,'Liste des aliments'!$C$6:$W$966,13,FALSE))</f>
        <v xml:space="preserve"> </v>
      </c>
      <c r="Q26" s="12" t="str">
        <f>IF(ISBLANK($B26)," ",VLOOKUP($B26,'Liste des aliments'!$C$6:$W$966,14,FALSE))</f>
        <v xml:space="preserve"> </v>
      </c>
      <c r="R26" s="12" t="str">
        <f>IF(ISBLANK($B26)," ",VLOOKUP($B26,'Liste des aliments'!$C$6:$W$966,15,FALSE))</f>
        <v xml:space="preserve"> </v>
      </c>
      <c r="S26" s="12" t="str">
        <f>IF(ISBLANK($B26)," ",VLOOKUP($B26,'Liste des aliments'!$C$6:$W$966,16,FALSE))</f>
        <v xml:space="preserve"> </v>
      </c>
      <c r="T26" s="12" t="str">
        <f>IF(ISBLANK($B26)," ",VLOOKUP($B26,'Liste des aliments'!$C$6:$W$966,17,FALSE))</f>
        <v xml:space="preserve"> </v>
      </c>
      <c r="U26" s="12" t="str">
        <f>IF(ISBLANK($B26)," ",VLOOKUP($B26,'Liste des aliments'!$C$6:$W$966,18,FALSE))</f>
        <v xml:space="preserve"> </v>
      </c>
      <c r="V26" s="12" t="str">
        <f>IF(ISBLANK($B26)," ",VLOOKUP($B26,'Liste des aliments'!$C$6:$W$966,20,FALSE))</f>
        <v xml:space="preserve"> </v>
      </c>
      <c r="W26" s="12" t="str">
        <f>IF(ISBLANK($B26)," ",VLOOKUP($B26,'Liste des aliments'!$C$6:$W$966,21,FALSE))</f>
        <v xml:space="preserve"> </v>
      </c>
      <c r="X26" s="107"/>
    </row>
    <row r="27" spans="1:47">
      <c r="A27" s="133"/>
      <c r="B27" s="137"/>
      <c r="C27" s="89" t="str">
        <f>IF(ISBLANK(B27),"",INDEX('Liste des aliments'!$B$6:$B$966,MATCH(B27,'Liste des aliments'!$C$6:$C$966,0)))</f>
        <v/>
      </c>
      <c r="D27" s="138"/>
      <c r="E27" s="139"/>
      <c r="F27" s="13" t="str">
        <f>IF(ISBLANK($B27)," ",VLOOKUP($B27,'Liste des aliments'!$C$6:$W$966,2,FALSE))</f>
        <v xml:space="preserve"> </v>
      </c>
      <c r="G27" s="14" t="str">
        <f t="shared" si="1"/>
        <v xml:space="preserve"> </v>
      </c>
      <c r="H27" s="12" t="str">
        <f>IF(ISBLANK($B27)," ",VLOOKUP($B27,'Liste des aliments'!$C$6:$W$966,3,FALSE))</f>
        <v xml:space="preserve"> </v>
      </c>
      <c r="I27" s="12" t="str">
        <f>IF(ISBLANK($B27)," ",VLOOKUP($B27,'Liste des aliments'!$C$6:$W$966,5,FALSE))</f>
        <v xml:space="preserve"> </v>
      </c>
      <c r="J27" s="12" t="str">
        <f>IF(ISBLANK($B27)," ",VLOOKUP($B27,'Liste des aliments'!$C$6:$W$966,6,FALSE))</f>
        <v xml:space="preserve"> </v>
      </c>
      <c r="K27" s="14" t="str">
        <f>IF(ISBLANK($B27)," ",VLOOKUP($B27,'Liste des aliments'!$C$6:$W$966,7,FALSE))</f>
        <v xml:space="preserve"> </v>
      </c>
      <c r="L27" s="12" t="str">
        <f>IF(ISBLANK($B27)," ",VLOOKUP($B27,'Liste des aliments'!$C$6:$W$966,9,FALSE))</f>
        <v xml:space="preserve"> </v>
      </c>
      <c r="M27" s="12" t="str">
        <f>IF(ISBLANK($B27)," ",VLOOKUP($B27,'Liste des aliments'!$C$6:$W$966,10,FALSE))</f>
        <v xml:space="preserve"> </v>
      </c>
      <c r="N27" s="12" t="str">
        <f>IF(ISBLANK($B27)," ",VLOOKUP($B27,'Liste des aliments'!$C$6:$W$966,11,FALSE))</f>
        <v xml:space="preserve"> </v>
      </c>
      <c r="O27" s="13" t="str">
        <f>IF(ISBLANK($B27)," ",VLOOKUP($B27,'Liste des aliments'!$C$6:$W$966,12,FALSE))</f>
        <v xml:space="preserve"> </v>
      </c>
      <c r="P27" s="13" t="str">
        <f>IF(ISBLANK($B27)," ",VLOOKUP($B27,'Liste des aliments'!$C$6:$W$966,13,FALSE))</f>
        <v xml:space="preserve"> </v>
      </c>
      <c r="Q27" s="12" t="str">
        <f>IF(ISBLANK($B27)," ",VLOOKUP($B27,'Liste des aliments'!$C$6:$W$966,14,FALSE))</f>
        <v xml:space="preserve"> </v>
      </c>
      <c r="R27" s="12" t="str">
        <f>IF(ISBLANK($B27)," ",VLOOKUP($B27,'Liste des aliments'!$C$6:$W$966,15,FALSE))</f>
        <v xml:space="preserve"> </v>
      </c>
      <c r="S27" s="12" t="str">
        <f>IF(ISBLANK($B27)," ",VLOOKUP($B27,'Liste des aliments'!$C$6:$W$966,16,FALSE))</f>
        <v xml:space="preserve"> </v>
      </c>
      <c r="T27" s="12" t="str">
        <f>IF(ISBLANK($B27)," ",VLOOKUP($B27,'Liste des aliments'!$C$6:$W$966,17,FALSE))</f>
        <v xml:space="preserve"> </v>
      </c>
      <c r="U27" s="12" t="str">
        <f>IF(ISBLANK($B27)," ",VLOOKUP($B27,'Liste des aliments'!$C$6:$W$966,18,FALSE))</f>
        <v xml:space="preserve"> </v>
      </c>
      <c r="V27" s="12" t="str">
        <f>IF(ISBLANK($B27)," ",VLOOKUP($B27,'Liste des aliments'!$C$6:$W$966,20,FALSE))</f>
        <v xml:space="preserve"> </v>
      </c>
      <c r="W27" s="12" t="str">
        <f>IF(ISBLANK($B27)," ",VLOOKUP($B27,'Liste des aliments'!$C$6:$W$966,21,FALSE))</f>
        <v xml:space="preserve"> </v>
      </c>
      <c r="X27" s="107"/>
    </row>
    <row r="28" spans="1:47">
      <c r="A28" s="133"/>
      <c r="B28" s="137"/>
      <c r="C28" s="89" t="str">
        <f>IF(ISBLANK(B28),"",INDEX('Liste des aliments'!$B$6:$B$966,MATCH(B28,'Liste des aliments'!$C$6:$C$966,0)))</f>
        <v/>
      </c>
      <c r="D28" s="138"/>
      <c r="E28" s="139"/>
      <c r="F28" s="13" t="str">
        <f>IF(ISBLANK($B28)," ",VLOOKUP($B28,'Liste des aliments'!$C$6:$W$966,2,FALSE))</f>
        <v xml:space="preserve"> </v>
      </c>
      <c r="G28" s="14" t="str">
        <f t="shared" si="1"/>
        <v xml:space="preserve"> </v>
      </c>
      <c r="H28" s="12" t="str">
        <f>IF(ISBLANK($B28)," ",VLOOKUP($B28,'Liste des aliments'!$C$6:$W$966,3,FALSE))</f>
        <v xml:space="preserve"> </v>
      </c>
      <c r="I28" s="12" t="str">
        <f>IF(ISBLANK($B28)," ",VLOOKUP($B28,'Liste des aliments'!$C$6:$W$966,5,FALSE))</f>
        <v xml:space="preserve"> </v>
      </c>
      <c r="J28" s="12" t="str">
        <f>IF(ISBLANK($B28)," ",VLOOKUP($B28,'Liste des aliments'!$C$6:$W$966,6,FALSE))</f>
        <v xml:space="preserve"> </v>
      </c>
      <c r="K28" s="14" t="str">
        <f>IF(ISBLANK($B28)," ",VLOOKUP($B28,'Liste des aliments'!$C$6:$W$966,7,FALSE))</f>
        <v xml:space="preserve"> </v>
      </c>
      <c r="L28" s="12" t="str">
        <f>IF(ISBLANK($B28)," ",VLOOKUP($B28,'Liste des aliments'!$C$6:$W$966,9,FALSE))</f>
        <v xml:space="preserve"> </v>
      </c>
      <c r="M28" s="12" t="str">
        <f>IF(ISBLANK($B28)," ",VLOOKUP($B28,'Liste des aliments'!$C$6:$W$966,10,FALSE))</f>
        <v xml:space="preserve"> </v>
      </c>
      <c r="N28" s="12" t="str">
        <f>IF(ISBLANK($B28)," ",VLOOKUP($B28,'Liste des aliments'!$C$6:$W$966,11,FALSE))</f>
        <v xml:space="preserve"> </v>
      </c>
      <c r="O28" s="13" t="str">
        <f>IF(ISBLANK($B28)," ",VLOOKUP($B28,'Liste des aliments'!$C$6:$W$966,12,FALSE))</f>
        <v xml:space="preserve"> </v>
      </c>
      <c r="P28" s="13" t="str">
        <f>IF(ISBLANK($B28)," ",VLOOKUP($B28,'Liste des aliments'!$C$6:$W$966,13,FALSE))</f>
        <v xml:space="preserve"> </v>
      </c>
      <c r="Q28" s="12" t="str">
        <f>IF(ISBLANK($B28)," ",VLOOKUP($B28,'Liste des aliments'!$C$6:$W$966,14,FALSE))</f>
        <v xml:space="preserve"> </v>
      </c>
      <c r="R28" s="12" t="str">
        <f>IF(ISBLANK($B28)," ",VLOOKUP($B28,'Liste des aliments'!$C$6:$W$966,15,FALSE))</f>
        <v xml:space="preserve"> </v>
      </c>
      <c r="S28" s="12" t="str">
        <f>IF(ISBLANK($B28)," ",VLOOKUP($B28,'Liste des aliments'!$C$6:$W$966,16,FALSE))</f>
        <v xml:space="preserve"> </v>
      </c>
      <c r="T28" s="12" t="str">
        <f>IF(ISBLANK($B28)," ",VLOOKUP($B28,'Liste des aliments'!$C$6:$W$966,17,FALSE))</f>
        <v xml:space="preserve"> </v>
      </c>
      <c r="U28" s="12" t="str">
        <f>IF(ISBLANK($B28)," ",VLOOKUP($B28,'Liste des aliments'!$C$6:$W$966,18,FALSE))</f>
        <v xml:space="preserve"> </v>
      </c>
      <c r="V28" s="12" t="str">
        <f>IF(ISBLANK($B28)," ",VLOOKUP($B28,'Liste des aliments'!$C$6:$W$966,20,FALSE))</f>
        <v xml:space="preserve"> </v>
      </c>
      <c r="W28" s="12" t="str">
        <f>IF(ISBLANK($B28)," ",VLOOKUP($B28,'Liste des aliments'!$C$6:$W$966,21,FALSE))</f>
        <v xml:space="preserve"> </v>
      </c>
      <c r="X28" s="107"/>
    </row>
    <row r="29" spans="1:47">
      <c r="A29" s="133"/>
      <c r="B29" s="137"/>
      <c r="C29" s="89" t="str">
        <f>IF(ISBLANK(B29),"",INDEX('Liste des aliments'!$B$6:$B$966,MATCH(B29,'Liste des aliments'!$C$6:$C$966,0)))</f>
        <v/>
      </c>
      <c r="D29" s="138"/>
      <c r="E29" s="139"/>
      <c r="F29" s="13" t="str">
        <f>IF(ISBLANK($B29)," ",VLOOKUP($B29,'Liste des aliments'!$C$6:$W$966,2,FALSE))</f>
        <v xml:space="preserve"> </v>
      </c>
      <c r="G29" s="14" t="str">
        <f t="shared" si="1"/>
        <v xml:space="preserve"> </v>
      </c>
      <c r="H29" s="12" t="str">
        <f>IF(ISBLANK($B29)," ",VLOOKUP($B29,'Liste des aliments'!$C$6:$W$966,3,FALSE))</f>
        <v xml:space="preserve"> </v>
      </c>
      <c r="I29" s="12" t="str">
        <f>IF(ISBLANK($B29)," ",VLOOKUP($B29,'Liste des aliments'!$C$6:$W$966,5,FALSE))</f>
        <v xml:space="preserve"> </v>
      </c>
      <c r="J29" s="12" t="str">
        <f>IF(ISBLANK($B29)," ",VLOOKUP($B29,'Liste des aliments'!$C$6:$W$966,6,FALSE))</f>
        <v xml:space="preserve"> </v>
      </c>
      <c r="K29" s="14" t="str">
        <f>IF(ISBLANK($B29)," ",VLOOKUP($B29,'Liste des aliments'!$C$6:$W$966,7,FALSE))</f>
        <v xml:space="preserve"> </v>
      </c>
      <c r="L29" s="12" t="str">
        <f>IF(ISBLANK($B29)," ",VLOOKUP($B29,'Liste des aliments'!$C$6:$W$966,9,FALSE))</f>
        <v xml:space="preserve"> </v>
      </c>
      <c r="M29" s="12" t="str">
        <f>IF(ISBLANK($B29)," ",VLOOKUP($B29,'Liste des aliments'!$C$6:$W$966,10,FALSE))</f>
        <v xml:space="preserve"> </v>
      </c>
      <c r="N29" s="12" t="str">
        <f>IF(ISBLANK($B29)," ",VLOOKUP($B29,'Liste des aliments'!$C$6:$W$966,11,FALSE))</f>
        <v xml:space="preserve"> </v>
      </c>
      <c r="O29" s="13" t="str">
        <f>IF(ISBLANK($B29)," ",VLOOKUP($B29,'Liste des aliments'!$C$6:$W$966,12,FALSE))</f>
        <v xml:space="preserve"> </v>
      </c>
      <c r="P29" s="13" t="str">
        <f>IF(ISBLANK($B29)," ",VLOOKUP($B29,'Liste des aliments'!$C$6:$W$966,13,FALSE))</f>
        <v xml:space="preserve"> </v>
      </c>
      <c r="Q29" s="12" t="str">
        <f>IF(ISBLANK($B29)," ",VLOOKUP($B29,'Liste des aliments'!$C$6:$W$966,14,FALSE))</f>
        <v xml:space="preserve"> </v>
      </c>
      <c r="R29" s="12" t="str">
        <f>IF(ISBLANK($B29)," ",VLOOKUP($B29,'Liste des aliments'!$C$6:$W$966,15,FALSE))</f>
        <v xml:space="preserve"> </v>
      </c>
      <c r="S29" s="12" t="str">
        <f>IF(ISBLANK($B29)," ",VLOOKUP($B29,'Liste des aliments'!$C$6:$W$966,16,FALSE))</f>
        <v xml:space="preserve"> </v>
      </c>
      <c r="T29" s="12" t="str">
        <f>IF(ISBLANK($B29)," ",VLOOKUP($B29,'Liste des aliments'!$C$6:$W$966,17,FALSE))</f>
        <v xml:space="preserve"> </v>
      </c>
      <c r="U29" s="12" t="str">
        <f>IF(ISBLANK($B29)," ",VLOOKUP($B29,'Liste des aliments'!$C$6:$W$966,18,FALSE))</f>
        <v xml:space="preserve"> </v>
      </c>
      <c r="V29" s="12" t="str">
        <f>IF(ISBLANK($B29)," ",VLOOKUP($B29,'Liste des aliments'!$C$6:$W$966,20,FALSE))</f>
        <v xml:space="preserve"> </v>
      </c>
      <c r="W29" s="12" t="str">
        <f>IF(ISBLANK($B29)," ",VLOOKUP($B29,'Liste des aliments'!$C$6:$W$966,21,FALSE))</f>
        <v xml:space="preserve"> </v>
      </c>
      <c r="X29" s="107"/>
    </row>
    <row r="30" spans="1:47">
      <c r="A30" s="133"/>
      <c r="B30" s="137"/>
      <c r="C30" s="89" t="str">
        <f>IF(ISBLANK(B30),"",INDEX('Liste des aliments'!$B$6:$B$966,MATCH(B30,'Liste des aliments'!$C$6:$C$966,0)))</f>
        <v/>
      </c>
      <c r="D30" s="138"/>
      <c r="E30" s="139"/>
      <c r="F30" s="13" t="str">
        <f>IF(ISBLANK($B30)," ",VLOOKUP($B30,'Liste des aliments'!$C$6:$W$966,2,FALSE))</f>
        <v xml:space="preserve"> </v>
      </c>
      <c r="G30" s="14" t="str">
        <f t="shared" si="1"/>
        <v xml:space="preserve"> </v>
      </c>
      <c r="H30" s="12" t="str">
        <f>IF(ISBLANK($B30)," ",VLOOKUP($B30,'Liste des aliments'!$C$6:$W$966,3,FALSE))</f>
        <v xml:space="preserve"> </v>
      </c>
      <c r="I30" s="12" t="str">
        <f>IF(ISBLANK($B30)," ",VLOOKUP($B30,'Liste des aliments'!$C$6:$W$966,5,FALSE))</f>
        <v xml:space="preserve"> </v>
      </c>
      <c r="J30" s="12" t="str">
        <f>IF(ISBLANK($B30)," ",VLOOKUP($B30,'Liste des aliments'!$C$6:$W$966,6,FALSE))</f>
        <v xml:space="preserve"> </v>
      </c>
      <c r="K30" s="14" t="str">
        <f>IF(ISBLANK($B30)," ",VLOOKUP($B30,'Liste des aliments'!$C$6:$W$966,7,FALSE))</f>
        <v xml:space="preserve"> </v>
      </c>
      <c r="L30" s="12" t="str">
        <f>IF(ISBLANK($B30)," ",VLOOKUP($B30,'Liste des aliments'!$C$6:$W$966,9,FALSE))</f>
        <v xml:space="preserve"> </v>
      </c>
      <c r="M30" s="12" t="str">
        <f>IF(ISBLANK($B30)," ",VLOOKUP($B30,'Liste des aliments'!$C$6:$W$966,10,FALSE))</f>
        <v xml:space="preserve"> </v>
      </c>
      <c r="N30" s="12" t="str">
        <f>IF(ISBLANK($B30)," ",VLOOKUP($B30,'Liste des aliments'!$C$6:$W$966,11,FALSE))</f>
        <v xml:space="preserve"> </v>
      </c>
      <c r="O30" s="13" t="str">
        <f>IF(ISBLANK($B30)," ",VLOOKUP($B30,'Liste des aliments'!$C$6:$W$966,12,FALSE))</f>
        <v xml:space="preserve"> </v>
      </c>
      <c r="P30" s="13" t="str">
        <f>IF(ISBLANK($B30)," ",VLOOKUP($B30,'Liste des aliments'!$C$6:$W$966,13,FALSE))</f>
        <v xml:space="preserve"> </v>
      </c>
      <c r="Q30" s="12" t="str">
        <f>IF(ISBLANK($B30)," ",VLOOKUP($B30,'Liste des aliments'!$C$6:$W$966,14,FALSE))</f>
        <v xml:space="preserve"> </v>
      </c>
      <c r="R30" s="12" t="str">
        <f>IF(ISBLANK($B30)," ",VLOOKUP($B30,'Liste des aliments'!$C$6:$W$966,15,FALSE))</f>
        <v xml:space="preserve"> </v>
      </c>
      <c r="S30" s="12" t="str">
        <f>IF(ISBLANK($B30)," ",VLOOKUP($B30,'Liste des aliments'!$C$6:$W$966,16,FALSE))</f>
        <v xml:space="preserve"> </v>
      </c>
      <c r="T30" s="12" t="str">
        <f>IF(ISBLANK($B30)," ",VLOOKUP($B30,'Liste des aliments'!$C$6:$W$966,17,FALSE))</f>
        <v xml:space="preserve"> </v>
      </c>
      <c r="U30" s="12" t="str">
        <f>IF(ISBLANK($B30)," ",VLOOKUP($B30,'Liste des aliments'!$C$6:$W$966,18,FALSE))</f>
        <v xml:space="preserve"> </v>
      </c>
      <c r="V30" s="12" t="str">
        <f>IF(ISBLANK($B30)," ",VLOOKUP($B30,'Liste des aliments'!$C$6:$W$966,20,FALSE))</f>
        <v xml:space="preserve"> </v>
      </c>
      <c r="W30" s="12" t="str">
        <f>IF(ISBLANK($B30)," ",VLOOKUP($B30,'Liste des aliments'!$C$6:$W$966,21,FALSE))</f>
        <v xml:space="preserve"> </v>
      </c>
      <c r="X30" s="107"/>
    </row>
    <row r="31" spans="1:47">
      <c r="A31" s="133"/>
      <c r="B31" s="137"/>
      <c r="C31" s="89" t="str">
        <f>IF(ISBLANK(B31),"",INDEX('Liste des aliments'!$B$6:$B$966,MATCH(B31,'Liste des aliments'!$C$6:$C$966,0)))</f>
        <v/>
      </c>
      <c r="D31" s="138"/>
      <c r="E31" s="139"/>
      <c r="F31" s="13" t="str">
        <f>IF(ISBLANK($B31)," ",VLOOKUP($B31,'Liste des aliments'!$C$6:$W$966,2,FALSE))</f>
        <v xml:space="preserve"> </v>
      </c>
      <c r="G31" s="14" t="str">
        <f t="shared" si="1"/>
        <v xml:space="preserve"> </v>
      </c>
      <c r="H31" s="12" t="str">
        <f>IF(ISBLANK($B31)," ",VLOOKUP($B31,'Liste des aliments'!$C$6:$W$966,3,FALSE))</f>
        <v xml:space="preserve"> </v>
      </c>
      <c r="I31" s="12" t="str">
        <f>IF(ISBLANK($B31)," ",VLOOKUP($B31,'Liste des aliments'!$C$6:$W$966,5,FALSE))</f>
        <v xml:space="preserve"> </v>
      </c>
      <c r="J31" s="12" t="str">
        <f>IF(ISBLANK($B31)," ",VLOOKUP($B31,'Liste des aliments'!$C$6:$W$966,6,FALSE))</f>
        <v xml:space="preserve"> </v>
      </c>
      <c r="K31" s="14" t="str">
        <f>IF(ISBLANK($B31)," ",VLOOKUP($B31,'Liste des aliments'!$C$6:$W$966,7,FALSE))</f>
        <v xml:space="preserve"> </v>
      </c>
      <c r="L31" s="12" t="str">
        <f>IF(ISBLANK($B31)," ",VLOOKUP($B31,'Liste des aliments'!$C$6:$W$966,9,FALSE))</f>
        <v xml:space="preserve"> </v>
      </c>
      <c r="M31" s="12" t="str">
        <f>IF(ISBLANK($B31)," ",VLOOKUP($B31,'Liste des aliments'!$C$6:$W$966,10,FALSE))</f>
        <v xml:space="preserve"> </v>
      </c>
      <c r="N31" s="12" t="str">
        <f>IF(ISBLANK($B31)," ",VLOOKUP($B31,'Liste des aliments'!$C$6:$W$966,11,FALSE))</f>
        <v xml:space="preserve"> </v>
      </c>
      <c r="O31" s="13" t="str">
        <f>IF(ISBLANK($B31)," ",VLOOKUP($B31,'Liste des aliments'!$C$6:$W$966,12,FALSE))</f>
        <v xml:space="preserve"> </v>
      </c>
      <c r="P31" s="13" t="str">
        <f>IF(ISBLANK($B31)," ",VLOOKUP($B31,'Liste des aliments'!$C$6:$W$966,13,FALSE))</f>
        <v xml:space="preserve"> </v>
      </c>
      <c r="Q31" s="12" t="str">
        <f>IF(ISBLANK($B31)," ",VLOOKUP($B31,'Liste des aliments'!$C$6:$W$966,14,FALSE))</f>
        <v xml:space="preserve"> </v>
      </c>
      <c r="R31" s="12" t="str">
        <f>IF(ISBLANK($B31)," ",VLOOKUP($B31,'Liste des aliments'!$C$6:$W$966,15,FALSE))</f>
        <v xml:space="preserve"> </v>
      </c>
      <c r="S31" s="12" t="str">
        <f>IF(ISBLANK($B31)," ",VLOOKUP($B31,'Liste des aliments'!$C$6:$W$966,16,FALSE))</f>
        <v xml:space="preserve"> </v>
      </c>
      <c r="T31" s="12" t="str">
        <f>IF(ISBLANK($B31)," ",VLOOKUP($B31,'Liste des aliments'!$C$6:$W$966,17,FALSE))</f>
        <v xml:space="preserve"> </v>
      </c>
      <c r="U31" s="12" t="str">
        <f>IF(ISBLANK($B31)," ",VLOOKUP($B31,'Liste des aliments'!$C$6:$W$966,18,FALSE))</f>
        <v xml:space="preserve"> </v>
      </c>
      <c r="V31" s="12" t="str">
        <f>IF(ISBLANK($B31)," ",VLOOKUP($B31,'Liste des aliments'!$C$6:$W$966,20,FALSE))</f>
        <v xml:space="preserve"> </v>
      </c>
      <c r="W31" s="12" t="str">
        <f>IF(ISBLANK($B31)," ",VLOOKUP($B31,'Liste des aliments'!$C$6:$W$966,21,FALSE))</f>
        <v xml:space="preserve"> </v>
      </c>
      <c r="X31" s="107"/>
    </row>
    <row r="32" spans="1:47">
      <c r="A32" s="133"/>
      <c r="B32" s="137"/>
      <c r="C32" s="89" t="str">
        <f>IF(ISBLANK(B32),"",INDEX('Liste des aliments'!$B$6:$B$966,MATCH(B32,'Liste des aliments'!$C$6:$C$966,0)))</f>
        <v/>
      </c>
      <c r="D32" s="138"/>
      <c r="E32" s="139"/>
      <c r="F32" s="13" t="str">
        <f>IF(ISBLANK($B32)," ",VLOOKUP($B32,'Liste des aliments'!$C$6:$W$966,2,FALSE))</f>
        <v xml:space="preserve"> </v>
      </c>
      <c r="G32" s="14" t="str">
        <f t="shared" si="1"/>
        <v xml:space="preserve"> </v>
      </c>
      <c r="H32" s="12" t="str">
        <f>IF(ISBLANK($B32)," ",VLOOKUP($B32,'Liste des aliments'!$C$6:$W$966,3,FALSE))</f>
        <v xml:space="preserve"> </v>
      </c>
      <c r="I32" s="12" t="str">
        <f>IF(ISBLANK($B32)," ",VLOOKUP($B32,'Liste des aliments'!$C$6:$W$966,5,FALSE))</f>
        <v xml:space="preserve"> </v>
      </c>
      <c r="J32" s="12" t="str">
        <f>IF(ISBLANK($B32)," ",VLOOKUP($B32,'Liste des aliments'!$C$6:$W$966,6,FALSE))</f>
        <v xml:space="preserve"> </v>
      </c>
      <c r="K32" s="14" t="str">
        <f>IF(ISBLANK($B32)," ",VLOOKUP($B32,'Liste des aliments'!$C$6:$W$966,7,FALSE))</f>
        <v xml:space="preserve"> </v>
      </c>
      <c r="L32" s="12" t="str">
        <f>IF(ISBLANK($B32)," ",VLOOKUP($B32,'Liste des aliments'!$C$6:$W$966,9,FALSE))</f>
        <v xml:space="preserve"> </v>
      </c>
      <c r="M32" s="12" t="str">
        <f>IF(ISBLANK($B32)," ",VLOOKUP($B32,'Liste des aliments'!$C$6:$W$966,10,FALSE))</f>
        <v xml:space="preserve"> </v>
      </c>
      <c r="N32" s="12" t="str">
        <f>IF(ISBLANK($B32)," ",VLOOKUP($B32,'Liste des aliments'!$C$6:$W$966,11,FALSE))</f>
        <v xml:space="preserve"> </v>
      </c>
      <c r="O32" s="13" t="str">
        <f>IF(ISBLANK($B32)," ",VLOOKUP($B32,'Liste des aliments'!$C$6:$W$966,12,FALSE))</f>
        <v xml:space="preserve"> </v>
      </c>
      <c r="P32" s="13" t="str">
        <f>IF(ISBLANK($B32)," ",VLOOKUP($B32,'Liste des aliments'!$C$6:$W$966,13,FALSE))</f>
        <v xml:space="preserve"> </v>
      </c>
      <c r="Q32" s="12" t="str">
        <f>IF(ISBLANK($B32)," ",VLOOKUP($B32,'Liste des aliments'!$C$6:$W$966,14,FALSE))</f>
        <v xml:space="preserve"> </v>
      </c>
      <c r="R32" s="12" t="str">
        <f>IF(ISBLANK($B32)," ",VLOOKUP($B32,'Liste des aliments'!$C$6:$W$966,15,FALSE))</f>
        <v xml:space="preserve"> </v>
      </c>
      <c r="S32" s="12" t="str">
        <f>IF(ISBLANK($B32)," ",VLOOKUP($B32,'Liste des aliments'!$C$6:$W$966,16,FALSE))</f>
        <v xml:space="preserve"> </v>
      </c>
      <c r="T32" s="12" t="str">
        <f>IF(ISBLANK($B32)," ",VLOOKUP($B32,'Liste des aliments'!$C$6:$W$966,17,FALSE))</f>
        <v xml:space="preserve"> </v>
      </c>
      <c r="U32" s="12" t="str">
        <f>IF(ISBLANK($B32)," ",VLOOKUP($B32,'Liste des aliments'!$C$6:$W$966,18,FALSE))</f>
        <v xml:space="preserve"> </v>
      </c>
      <c r="V32" s="12" t="str">
        <f>IF(ISBLANK($B32)," ",VLOOKUP($B32,'Liste des aliments'!$C$6:$W$966,20,FALSE))</f>
        <v xml:space="preserve"> </v>
      </c>
      <c r="W32" s="12" t="str">
        <f>IF(ISBLANK($B32)," ",VLOOKUP($B32,'Liste des aliments'!$C$6:$W$966,21,FALSE))</f>
        <v xml:space="preserve"> </v>
      </c>
      <c r="X32" s="107"/>
    </row>
    <row r="33" spans="1:47" ht="14.4" thickBot="1">
      <c r="A33" s="133"/>
      <c r="B33" s="142"/>
      <c r="C33" s="15" t="str">
        <f>IF(ISBLANK(B33),"",INDEX('Liste des aliments'!$B$6:$B$966,MATCH(B33,'Liste des aliments'!$C$6:$C$966,0)))</f>
        <v/>
      </c>
      <c r="D33" s="143"/>
      <c r="E33" s="144"/>
      <c r="F33" s="3" t="str">
        <f>IF(ISBLANK($B33)," ",VLOOKUP($B33,'Liste des aliments'!$C$6:$W$966,2,FALSE))</f>
        <v xml:space="preserve"> </v>
      </c>
      <c r="G33" s="10" t="str">
        <f t="shared" si="1"/>
        <v xml:space="preserve"> </v>
      </c>
      <c r="H33" s="4" t="str">
        <f>IF(ISBLANK($B33)," ",VLOOKUP($B33,'Liste des aliments'!$C$6:$W$966,3,FALSE))</f>
        <v xml:space="preserve"> </v>
      </c>
      <c r="I33" s="4" t="str">
        <f>IF(ISBLANK($B33)," ",VLOOKUP($B33,'Liste des aliments'!$C$6:$W$966,5,FALSE))</f>
        <v xml:space="preserve"> </v>
      </c>
      <c r="J33" s="4" t="str">
        <f>IF(ISBLANK($B33)," ",VLOOKUP($B33,'Liste des aliments'!$C$6:$W$966,6,FALSE))</f>
        <v xml:space="preserve"> </v>
      </c>
      <c r="K33" s="10" t="str">
        <f>IF(ISBLANK($B33)," ",VLOOKUP($B33,'Liste des aliments'!$C$6:$W$966,7,FALSE))</f>
        <v xml:space="preserve"> </v>
      </c>
      <c r="L33" s="4" t="str">
        <f>IF(ISBLANK($B33)," ",VLOOKUP($B33,'Liste des aliments'!$C$6:$W$966,9,FALSE))</f>
        <v xml:space="preserve"> </v>
      </c>
      <c r="M33" s="4" t="str">
        <f>IF(ISBLANK($B33)," ",VLOOKUP($B33,'Liste des aliments'!$C$6:$W$966,10,FALSE))</f>
        <v xml:space="preserve"> </v>
      </c>
      <c r="N33" s="4" t="str">
        <f>IF(ISBLANK($B33)," ",VLOOKUP($B33,'Liste des aliments'!$C$6:$W$966,11,FALSE))</f>
        <v xml:space="preserve"> </v>
      </c>
      <c r="O33" s="3" t="str">
        <f>IF(ISBLANK($B33)," ",VLOOKUP($B33,'Liste des aliments'!$C$6:$W$966,12,FALSE))</f>
        <v xml:space="preserve"> </v>
      </c>
      <c r="P33" s="3" t="str">
        <f>IF(ISBLANK($B33)," ",VLOOKUP($B33,'Liste des aliments'!$C$6:$W$966,13,FALSE))</f>
        <v xml:space="preserve"> </v>
      </c>
      <c r="Q33" s="4" t="str">
        <f>IF(ISBLANK($B33)," ",VLOOKUP($B33,'Liste des aliments'!$C$6:$W$966,14,FALSE))</f>
        <v xml:space="preserve"> </v>
      </c>
      <c r="R33" s="4" t="str">
        <f>IF(ISBLANK($B33)," ",VLOOKUP($B33,'Liste des aliments'!$C$6:$W$966,15,FALSE))</f>
        <v xml:space="preserve"> </v>
      </c>
      <c r="S33" s="4" t="str">
        <f>IF(ISBLANK($B33)," ",VLOOKUP($B33,'Liste des aliments'!$C$6:$W$966,16,FALSE))</f>
        <v xml:space="preserve"> </v>
      </c>
      <c r="T33" s="4" t="str">
        <f>IF(ISBLANK($B33)," ",VLOOKUP($B33,'Liste des aliments'!$C$6:$W$966,17,FALSE))</f>
        <v xml:space="preserve"> </v>
      </c>
      <c r="U33" s="4" t="str">
        <f>IF(ISBLANK($B33)," ",VLOOKUP($B33,'Liste des aliments'!$C$6:$W$966,18,FALSE))</f>
        <v xml:space="preserve"> </v>
      </c>
      <c r="V33" s="4" t="str">
        <f>IF(ISBLANK($B33)," ",VLOOKUP($B33,'Liste des aliments'!$C$6:$W$966,20,FALSE))</f>
        <v xml:space="preserve"> </v>
      </c>
      <c r="W33" s="4" t="str">
        <f>IF(ISBLANK($B33)," ",VLOOKUP($B33,'Liste des aliments'!$C$6:$W$966,21,FALSE))</f>
        <v xml:space="preserve"> </v>
      </c>
      <c r="X33" s="108"/>
    </row>
    <row r="34" spans="1:47">
      <c r="G34" s="109" t="str">
        <f t="shared" ref="G34" si="2">IF($A34&gt;0,(D34*E34/100)," ")</f>
        <v xml:space="preserve"> </v>
      </c>
    </row>
    <row r="35" spans="1:47" ht="16.2" thickBot="1">
      <c r="B35" s="11" t="s">
        <v>195</v>
      </c>
      <c r="C35" s="1"/>
      <c r="D35" s="1"/>
      <c r="E35" s="1"/>
      <c r="F35" s="1"/>
      <c r="G35" s="1"/>
      <c r="H35" s="1"/>
      <c r="I35" s="1"/>
      <c r="J35" s="1"/>
      <c r="K35" s="1"/>
      <c r="L35" s="1"/>
      <c r="M35" s="1"/>
      <c r="N35" s="1"/>
      <c r="O35" s="1"/>
      <c r="P35" s="1"/>
      <c r="Q35" s="1"/>
      <c r="R35" s="776" t="s">
        <v>196</v>
      </c>
      <c r="S35" s="776"/>
      <c r="T35" s="776"/>
      <c r="U35" s="776"/>
      <c r="V35" s="43"/>
      <c r="W35" s="1"/>
      <c r="X35" s="1"/>
    </row>
    <row r="36" spans="1:47" ht="14.4" thickBot="1">
      <c r="A36" s="145"/>
      <c r="B36" s="1"/>
      <c r="C36" s="1"/>
      <c r="D36" s="59" t="s">
        <v>188</v>
      </c>
      <c r="E36" s="60" t="s">
        <v>197</v>
      </c>
      <c r="F36" s="60"/>
      <c r="G36" s="60" t="s">
        <v>191</v>
      </c>
      <c r="H36" s="60" t="s">
        <v>42</v>
      </c>
      <c r="I36" s="60" t="s">
        <v>44</v>
      </c>
      <c r="J36" s="60" t="s">
        <v>45</v>
      </c>
      <c r="K36" s="60" t="s">
        <v>46</v>
      </c>
      <c r="L36" s="60" t="s">
        <v>48</v>
      </c>
      <c r="M36" s="60" t="s">
        <v>49</v>
      </c>
      <c r="N36" s="60" t="s">
        <v>50</v>
      </c>
      <c r="O36" s="60" t="s">
        <v>51</v>
      </c>
      <c r="P36" s="60" t="s">
        <v>52</v>
      </c>
      <c r="Q36" s="60" t="s">
        <v>192</v>
      </c>
      <c r="R36" s="61" t="s">
        <v>54</v>
      </c>
      <c r="S36" s="61" t="s">
        <v>198</v>
      </c>
      <c r="T36" s="61" t="s">
        <v>56</v>
      </c>
      <c r="U36" s="61" t="s">
        <v>57</v>
      </c>
      <c r="V36" s="61" t="s">
        <v>59</v>
      </c>
      <c r="W36" s="60" t="s">
        <v>60</v>
      </c>
      <c r="X36" s="62" t="s">
        <v>194</v>
      </c>
    </row>
    <row r="37" spans="1:47" ht="18" customHeight="1">
      <c r="B37" s="93" t="s">
        <v>199</v>
      </c>
      <c r="C37" s="94"/>
      <c r="D37" s="352">
        <f>SUM(D18:D33)</f>
        <v>0</v>
      </c>
      <c r="E37" s="353" t="e">
        <f>G37/D37*100</f>
        <v>#DIV/0!</v>
      </c>
      <c r="F37" s="354"/>
      <c r="G37" s="355">
        <f>SUM(G18:G33)</f>
        <v>0</v>
      </c>
      <c r="H37" s="356">
        <f>H91</f>
        <v>0</v>
      </c>
      <c r="I37" s="356">
        <f>I91</f>
        <v>0</v>
      </c>
      <c r="J37" s="356">
        <f t="shared" ref="J37:X37" si="3">J91</f>
        <v>0</v>
      </c>
      <c r="K37" s="356">
        <f t="shared" si="3"/>
        <v>0</v>
      </c>
      <c r="L37" s="356">
        <f t="shared" si="3"/>
        <v>0</v>
      </c>
      <c r="M37" s="356">
        <f t="shared" si="3"/>
        <v>0</v>
      </c>
      <c r="N37" s="356">
        <f t="shared" si="3"/>
        <v>0</v>
      </c>
      <c r="O37" s="356">
        <f t="shared" si="3"/>
        <v>0</v>
      </c>
      <c r="P37" s="356">
        <f t="shared" si="3"/>
        <v>0</v>
      </c>
      <c r="Q37" s="356">
        <f t="shared" si="3"/>
        <v>0</v>
      </c>
      <c r="R37" s="357">
        <f t="shared" si="3"/>
        <v>0</v>
      </c>
      <c r="S37" s="357">
        <f t="shared" si="3"/>
        <v>0</v>
      </c>
      <c r="T37" s="357">
        <f t="shared" si="3"/>
        <v>0</v>
      </c>
      <c r="U37" s="357">
        <f t="shared" si="3"/>
        <v>0</v>
      </c>
      <c r="V37" s="357">
        <f t="shared" si="3"/>
        <v>0</v>
      </c>
      <c r="W37" s="356">
        <f t="shared" si="3"/>
        <v>0</v>
      </c>
      <c r="X37" s="358">
        <f t="shared" si="3"/>
        <v>0</v>
      </c>
    </row>
    <row r="38" spans="1:47" ht="18" customHeight="1" thickBot="1">
      <c r="B38" s="97" t="s">
        <v>200</v>
      </c>
      <c r="C38" s="98"/>
      <c r="D38" s="359"/>
      <c r="E38" s="359"/>
      <c r="F38" s="359"/>
      <c r="G38" s="260">
        <v>1</v>
      </c>
      <c r="H38" s="360" t="e">
        <f t="shared" ref="H38:X38" si="4">H37/$G$37</f>
        <v>#DIV/0!</v>
      </c>
      <c r="I38" s="360" t="e">
        <f t="shared" si="4"/>
        <v>#DIV/0!</v>
      </c>
      <c r="J38" s="360" t="e">
        <f t="shared" si="4"/>
        <v>#DIV/0!</v>
      </c>
      <c r="K38" s="361" t="e">
        <f t="shared" si="4"/>
        <v>#DIV/0!</v>
      </c>
      <c r="L38" s="360" t="e">
        <f t="shared" si="4"/>
        <v>#DIV/0!</v>
      </c>
      <c r="M38" s="360" t="e">
        <f t="shared" si="4"/>
        <v>#DIV/0!</v>
      </c>
      <c r="N38" s="360" t="e">
        <f t="shared" si="4"/>
        <v>#DIV/0!</v>
      </c>
      <c r="O38" s="260" t="e">
        <f t="shared" si="4"/>
        <v>#DIV/0!</v>
      </c>
      <c r="P38" s="260" t="e">
        <f t="shared" si="4"/>
        <v>#DIV/0!</v>
      </c>
      <c r="Q38" s="360" t="e">
        <f t="shared" si="4"/>
        <v>#DIV/0!</v>
      </c>
      <c r="R38" s="362" t="e">
        <f t="shared" si="4"/>
        <v>#DIV/0!</v>
      </c>
      <c r="S38" s="362" t="e">
        <f t="shared" si="4"/>
        <v>#DIV/0!</v>
      </c>
      <c r="T38" s="362" t="e">
        <f t="shared" si="4"/>
        <v>#DIV/0!</v>
      </c>
      <c r="U38" s="362" t="e">
        <f t="shared" si="4"/>
        <v>#DIV/0!</v>
      </c>
      <c r="V38" s="362" t="e">
        <f t="shared" si="4"/>
        <v>#DIV/0!</v>
      </c>
      <c r="W38" s="363" t="e">
        <f t="shared" si="4"/>
        <v>#DIV/0!</v>
      </c>
      <c r="X38" s="364" t="e">
        <f t="shared" si="4"/>
        <v>#DIV/0!</v>
      </c>
    </row>
    <row r="39" spans="1:47" ht="18" customHeight="1" thickBot="1">
      <c r="B39" s="365" t="s">
        <v>260</v>
      </c>
      <c r="C39" s="366"/>
      <c r="D39" s="367"/>
      <c r="E39" s="367"/>
      <c r="F39" s="367"/>
      <c r="G39" s="368">
        <f>G37/H12</f>
        <v>0</v>
      </c>
      <c r="H39" s="368">
        <f>H37/I12</f>
        <v>0</v>
      </c>
      <c r="I39" s="368">
        <f>I37/J12</f>
        <v>0</v>
      </c>
      <c r="J39" s="369"/>
      <c r="K39" s="368">
        <f>K37/M12</f>
        <v>0</v>
      </c>
      <c r="L39" s="368">
        <f>L37/O12</f>
        <v>0</v>
      </c>
      <c r="M39" s="368">
        <f>M37/O12</f>
        <v>0</v>
      </c>
      <c r="N39" s="369"/>
      <c r="O39" s="368">
        <f>O37/K12</f>
        <v>0</v>
      </c>
      <c r="P39" s="368">
        <f>P37/L12</f>
        <v>0</v>
      </c>
      <c r="Q39" s="367"/>
      <c r="R39" s="370"/>
      <c r="S39" s="370"/>
      <c r="T39" s="370"/>
      <c r="U39" s="370"/>
      <c r="V39" s="370"/>
      <c r="W39" s="371"/>
      <c r="X39" s="372"/>
      <c r="AD39" s="295">
        <v>350</v>
      </c>
      <c r="AE39" s="301">
        <v>4.5314000000000005</v>
      </c>
      <c r="AF39" s="301">
        <v>4.8410999999999991</v>
      </c>
      <c r="AG39" s="301">
        <v>4.9442000000000004</v>
      </c>
      <c r="AH39" s="301">
        <v>5.0600999999999994</v>
      </c>
      <c r="AI39" s="301">
        <v>5.3722000000000003</v>
      </c>
      <c r="AJ39" s="301">
        <v>5.4466000000000001</v>
      </c>
      <c r="AK39" s="301">
        <v>5.8644000000000007</v>
      </c>
      <c r="AN39" s="295">
        <v>350</v>
      </c>
      <c r="AO39" s="295">
        <v>401</v>
      </c>
      <c r="AP39" s="295">
        <v>428.5</v>
      </c>
      <c r="AQ39" s="295">
        <v>441</v>
      </c>
      <c r="AR39" s="295">
        <v>453.29999999999995</v>
      </c>
      <c r="AS39" s="295">
        <v>471.75</v>
      </c>
      <c r="AT39" s="295">
        <v>477.90000000000003</v>
      </c>
      <c r="AU39" s="295">
        <v>499</v>
      </c>
    </row>
    <row r="40" spans="1:47">
      <c r="N40" s="150"/>
      <c r="O40" s="150" t="s">
        <v>261</v>
      </c>
      <c r="Q40" s="148"/>
      <c r="R40" s="149"/>
      <c r="S40" s="149"/>
      <c r="T40" s="149"/>
      <c r="U40" s="149"/>
      <c r="V40" s="149"/>
    </row>
    <row r="41" spans="1:47">
      <c r="Q41" s="151" t="s">
        <v>203</v>
      </c>
      <c r="R41" s="152">
        <v>70</v>
      </c>
      <c r="S41" s="152">
        <v>180</v>
      </c>
      <c r="T41" s="152">
        <v>350</v>
      </c>
      <c r="U41" s="153">
        <v>210</v>
      </c>
      <c r="V41" s="154"/>
      <c r="W41" s="302"/>
    </row>
    <row r="42" spans="1:47">
      <c r="B42" s="787" t="s">
        <v>205</v>
      </c>
      <c r="C42" s="787"/>
      <c r="E42" s="150"/>
      <c r="K42" s="303"/>
      <c r="Q42" s="157" t="s">
        <v>204</v>
      </c>
      <c r="R42" s="158">
        <v>220</v>
      </c>
      <c r="S42" s="158"/>
      <c r="T42" s="158"/>
      <c r="U42" s="159"/>
      <c r="V42" s="160">
        <v>40</v>
      </c>
      <c r="W42" s="302"/>
    </row>
    <row r="43" spans="1:47">
      <c r="B43" s="373" t="s">
        <v>206</v>
      </c>
      <c r="C43" s="374"/>
      <c r="E43" s="150"/>
    </row>
    <row r="44" spans="1:47">
      <c r="B44" s="373" t="s">
        <v>207</v>
      </c>
      <c r="C44" s="375"/>
      <c r="E44" s="150"/>
    </row>
    <row r="45" spans="1:47">
      <c r="B45" s="373" t="s">
        <v>208</v>
      </c>
      <c r="C45" s="376"/>
      <c r="E45" s="150"/>
      <c r="R45" s="145"/>
      <c r="S45" s="147"/>
    </row>
    <row r="46" spans="1:47">
      <c r="E46" s="150"/>
      <c r="S46" s="147"/>
    </row>
    <row r="47" spans="1:47">
      <c r="E47" s="150"/>
    </row>
    <row r="48" spans="1:47">
      <c r="E48" s="150"/>
    </row>
    <row r="49" spans="1:5">
      <c r="E49" s="150"/>
    </row>
    <row r="50" spans="1:5">
      <c r="E50" s="150"/>
    </row>
    <row r="62" spans="1:5" ht="14.4">
      <c r="A62" s="287"/>
      <c r="B62" s="287"/>
      <c r="C62" s="287"/>
    </row>
    <row r="63" spans="1:5" ht="14.4">
      <c r="A63" s="287"/>
      <c r="B63" s="287"/>
      <c r="C63" s="287"/>
    </row>
    <row r="64" spans="1:5" ht="14.4">
      <c r="A64" s="287"/>
      <c r="B64" s="287"/>
      <c r="C64" s="287"/>
    </row>
    <row r="65" spans="1:24" ht="14.4">
      <c r="A65" s="287"/>
      <c r="B65" s="287"/>
      <c r="C65" s="287"/>
    </row>
    <row r="66" spans="1:24" ht="14.4">
      <c r="A66" s="287"/>
      <c r="B66" s="287"/>
      <c r="C66" s="287"/>
    </row>
    <row r="68" spans="1:24" s="654" customFormat="1"/>
    <row r="69" spans="1:24" s="538" customFormat="1" ht="15.6">
      <c r="A69" s="537" t="s">
        <v>210</v>
      </c>
      <c r="D69" s="539" t="s">
        <v>169</v>
      </c>
      <c r="E69" s="539" t="s">
        <v>42</v>
      </c>
      <c r="F69" s="539" t="s">
        <v>44</v>
      </c>
      <c r="G69" s="539" t="s">
        <v>171</v>
      </c>
      <c r="H69" s="539" t="s">
        <v>51</v>
      </c>
      <c r="I69" s="539" t="s">
        <v>211</v>
      </c>
      <c r="J69" s="539" t="s">
        <v>46</v>
      </c>
      <c r="K69" s="539" t="s">
        <v>48</v>
      </c>
      <c r="L69" s="539" t="s">
        <v>49</v>
      </c>
    </row>
    <row r="70" spans="1:24" s="538" customFormat="1">
      <c r="B70" s="538" t="s">
        <v>214</v>
      </c>
      <c r="D70" s="655">
        <f>G37/H10</f>
        <v>0</v>
      </c>
      <c r="E70" s="655">
        <f>H37/I12</f>
        <v>0</v>
      </c>
      <c r="F70" s="655">
        <f>I37/J12</f>
        <v>0</v>
      </c>
      <c r="G70" s="655" t="e">
        <f>J37/#REF!</f>
        <v>#REF!</v>
      </c>
      <c r="H70" s="655">
        <f>O37/K12</f>
        <v>0</v>
      </c>
      <c r="I70" s="655">
        <f>P37/L12</f>
        <v>0</v>
      </c>
      <c r="J70" s="655">
        <f>K37/M12</f>
        <v>0</v>
      </c>
      <c r="K70" s="655">
        <f>L37/N12</f>
        <v>0</v>
      </c>
      <c r="L70" s="655">
        <f>M37/O12</f>
        <v>0</v>
      </c>
    </row>
    <row r="71" spans="1:24" s="538" customFormat="1">
      <c r="B71" s="538" t="s">
        <v>262</v>
      </c>
      <c r="E71" s="656" t="e">
        <f>#REF!</f>
        <v>#REF!</v>
      </c>
      <c r="F71" s="656" t="e">
        <f>#REF!</f>
        <v>#REF!</v>
      </c>
      <c r="G71" s="656"/>
      <c r="H71" s="656" t="e">
        <f>#REF!</f>
        <v>#REF!</v>
      </c>
      <c r="I71" s="656" t="e">
        <f>#REF!</f>
        <v>#REF!</v>
      </c>
      <c r="J71" s="656" t="e">
        <f>#REF!</f>
        <v>#REF!</v>
      </c>
      <c r="K71" s="656" t="e">
        <f>#REF!</f>
        <v>#REF!</v>
      </c>
      <c r="L71" s="656" t="e">
        <f>#REF!</f>
        <v>#REF!</v>
      </c>
    </row>
    <row r="72" spans="1:24" s="538" customFormat="1">
      <c r="B72" s="538" t="s">
        <v>219</v>
      </c>
      <c r="E72" s="657">
        <v>0.3</v>
      </c>
      <c r="F72" s="657">
        <v>0.3</v>
      </c>
      <c r="G72" s="657">
        <v>0.3</v>
      </c>
      <c r="H72" s="657">
        <v>0.3</v>
      </c>
      <c r="I72" s="657">
        <v>0.3</v>
      </c>
      <c r="J72" s="657">
        <v>0.3</v>
      </c>
      <c r="K72" s="657">
        <v>0.3</v>
      </c>
      <c r="L72" s="657">
        <v>0.3</v>
      </c>
    </row>
    <row r="73" spans="1:24" s="538" customFormat="1">
      <c r="E73" s="655">
        <v>1</v>
      </c>
      <c r="F73" s="655">
        <v>1</v>
      </c>
      <c r="G73" s="655">
        <v>1</v>
      </c>
      <c r="H73" s="655">
        <v>1</v>
      </c>
      <c r="I73" s="655">
        <v>1</v>
      </c>
      <c r="J73" s="655">
        <v>1</v>
      </c>
      <c r="K73" s="655">
        <v>1</v>
      </c>
      <c r="L73" s="655">
        <v>1</v>
      </c>
    </row>
    <row r="74" spans="1:24" s="538" customFormat="1" ht="26.4">
      <c r="A74" s="658"/>
      <c r="B74" s="659" t="s">
        <v>40</v>
      </c>
      <c r="C74" s="660" t="s">
        <v>187</v>
      </c>
      <c r="D74" s="660" t="s">
        <v>188</v>
      </c>
      <c r="E74" s="660" t="s">
        <v>220</v>
      </c>
      <c r="F74" s="660" t="s">
        <v>190</v>
      </c>
      <c r="G74" s="660" t="s">
        <v>191</v>
      </c>
      <c r="H74" s="660" t="s">
        <v>42</v>
      </c>
      <c r="I74" s="660" t="s">
        <v>44</v>
      </c>
      <c r="J74" s="660" t="s">
        <v>45</v>
      </c>
      <c r="K74" s="660" t="s">
        <v>46</v>
      </c>
      <c r="L74" s="660" t="s">
        <v>48</v>
      </c>
      <c r="M74" s="660" t="s">
        <v>49</v>
      </c>
      <c r="N74" s="660" t="s">
        <v>50</v>
      </c>
      <c r="O74" s="660" t="s">
        <v>51</v>
      </c>
      <c r="P74" s="660" t="s">
        <v>52</v>
      </c>
      <c r="Q74" s="660" t="s">
        <v>53</v>
      </c>
      <c r="R74" s="660" t="s">
        <v>54</v>
      </c>
      <c r="S74" s="660" t="s">
        <v>193</v>
      </c>
      <c r="T74" s="660" t="s">
        <v>56</v>
      </c>
      <c r="U74" s="660" t="s">
        <v>57</v>
      </c>
      <c r="V74" s="660" t="s">
        <v>59</v>
      </c>
      <c r="W74" s="660" t="s">
        <v>60</v>
      </c>
      <c r="X74" s="660" t="s">
        <v>221</v>
      </c>
    </row>
    <row r="75" spans="1:24" s="538" customFormat="1">
      <c r="A75" s="661"/>
      <c r="B75" s="662">
        <f t="shared" ref="B75:G84" si="5">B18</f>
        <v>0</v>
      </c>
      <c r="C75" s="663" t="str">
        <f t="shared" si="5"/>
        <v/>
      </c>
      <c r="D75" s="663">
        <f t="shared" si="5"/>
        <v>0</v>
      </c>
      <c r="E75" s="663">
        <f t="shared" si="5"/>
        <v>0</v>
      </c>
      <c r="F75" s="664" t="str">
        <f t="shared" si="5"/>
        <v xml:space="preserve"> </v>
      </c>
      <c r="G75" s="665" t="str">
        <f t="shared" si="5"/>
        <v xml:space="preserve"> </v>
      </c>
      <c r="H75" s="666" t="str">
        <f t="shared" ref="H75:X75" si="6">IF($B75&gt;0,(IF($C75="F",H18*$G18,(H18/($F18/100))*$G18))," ")</f>
        <v xml:space="preserve"> </v>
      </c>
      <c r="I75" s="666" t="str">
        <f t="shared" si="6"/>
        <v xml:space="preserve"> </v>
      </c>
      <c r="J75" s="666" t="str">
        <f t="shared" si="6"/>
        <v xml:space="preserve"> </v>
      </c>
      <c r="K75" s="665" t="str">
        <f t="shared" si="6"/>
        <v xml:space="preserve"> </v>
      </c>
      <c r="L75" s="666" t="str">
        <f t="shared" si="6"/>
        <v xml:space="preserve"> </v>
      </c>
      <c r="M75" s="666" t="str">
        <f t="shared" si="6"/>
        <v xml:space="preserve"> </v>
      </c>
      <c r="N75" s="666" t="str">
        <f t="shared" si="6"/>
        <v xml:space="preserve"> </v>
      </c>
      <c r="O75" s="666" t="str">
        <f t="shared" si="6"/>
        <v xml:space="preserve"> </v>
      </c>
      <c r="P75" s="666" t="str">
        <f t="shared" si="6"/>
        <v xml:space="preserve"> </v>
      </c>
      <c r="Q75" s="666" t="str">
        <f t="shared" si="6"/>
        <v xml:space="preserve"> </v>
      </c>
      <c r="R75" s="666" t="str">
        <f t="shared" si="6"/>
        <v xml:space="preserve"> </v>
      </c>
      <c r="S75" s="666" t="str">
        <f t="shared" si="6"/>
        <v xml:space="preserve"> </v>
      </c>
      <c r="T75" s="666" t="str">
        <f t="shared" si="6"/>
        <v xml:space="preserve"> </v>
      </c>
      <c r="U75" s="666" t="str">
        <f t="shared" si="6"/>
        <v xml:space="preserve"> </v>
      </c>
      <c r="V75" s="666" t="str">
        <f t="shared" si="6"/>
        <v xml:space="preserve"> </v>
      </c>
      <c r="W75" s="666" t="str">
        <f t="shared" si="6"/>
        <v xml:space="preserve"> </v>
      </c>
      <c r="X75" s="666" t="str">
        <f t="shared" si="6"/>
        <v xml:space="preserve"> </v>
      </c>
    </row>
    <row r="76" spans="1:24" s="538" customFormat="1">
      <c r="A76" s="661"/>
      <c r="B76" s="662">
        <f t="shared" si="5"/>
        <v>0</v>
      </c>
      <c r="C76" s="663" t="str">
        <f t="shared" si="5"/>
        <v/>
      </c>
      <c r="D76" s="663">
        <f t="shared" si="5"/>
        <v>0</v>
      </c>
      <c r="E76" s="663">
        <f t="shared" si="5"/>
        <v>0</v>
      </c>
      <c r="F76" s="664" t="str">
        <f t="shared" si="5"/>
        <v xml:space="preserve"> </v>
      </c>
      <c r="G76" s="665" t="str">
        <f t="shared" si="5"/>
        <v xml:space="preserve"> </v>
      </c>
      <c r="H76" s="666" t="str">
        <f t="shared" ref="H76:X76" si="7">IF($B76&gt;0,(IF($C76="F",H19*$G19,(H19/($F19/100))*$G19))," ")</f>
        <v xml:space="preserve"> </v>
      </c>
      <c r="I76" s="666" t="str">
        <f t="shared" si="7"/>
        <v xml:space="preserve"> </v>
      </c>
      <c r="J76" s="666" t="str">
        <f t="shared" si="7"/>
        <v xml:space="preserve"> </v>
      </c>
      <c r="K76" s="665" t="str">
        <f t="shared" si="7"/>
        <v xml:space="preserve"> </v>
      </c>
      <c r="L76" s="666" t="str">
        <f t="shared" si="7"/>
        <v xml:space="preserve"> </v>
      </c>
      <c r="M76" s="666" t="str">
        <f t="shared" si="7"/>
        <v xml:space="preserve"> </v>
      </c>
      <c r="N76" s="666" t="str">
        <f t="shared" si="7"/>
        <v xml:space="preserve"> </v>
      </c>
      <c r="O76" s="666" t="str">
        <f t="shared" si="7"/>
        <v xml:space="preserve"> </v>
      </c>
      <c r="P76" s="666" t="str">
        <f t="shared" si="7"/>
        <v xml:space="preserve"> </v>
      </c>
      <c r="Q76" s="666" t="str">
        <f t="shared" si="7"/>
        <v xml:space="preserve"> </v>
      </c>
      <c r="R76" s="666" t="str">
        <f t="shared" si="7"/>
        <v xml:space="preserve"> </v>
      </c>
      <c r="S76" s="666" t="str">
        <f t="shared" si="7"/>
        <v xml:space="preserve"> </v>
      </c>
      <c r="T76" s="666" t="str">
        <f t="shared" si="7"/>
        <v xml:space="preserve"> </v>
      </c>
      <c r="U76" s="666" t="str">
        <f t="shared" si="7"/>
        <v xml:space="preserve"> </v>
      </c>
      <c r="V76" s="666" t="str">
        <f t="shared" si="7"/>
        <v xml:space="preserve"> </v>
      </c>
      <c r="W76" s="666" t="str">
        <f t="shared" si="7"/>
        <v xml:space="preserve"> </v>
      </c>
      <c r="X76" s="666" t="str">
        <f t="shared" si="7"/>
        <v xml:space="preserve"> </v>
      </c>
    </row>
    <row r="77" spans="1:24" s="538" customFormat="1">
      <c r="A77" s="661"/>
      <c r="B77" s="662">
        <f t="shared" si="5"/>
        <v>0</v>
      </c>
      <c r="C77" s="663" t="str">
        <f t="shared" si="5"/>
        <v/>
      </c>
      <c r="D77" s="663">
        <f t="shared" si="5"/>
        <v>0</v>
      </c>
      <c r="E77" s="663">
        <f t="shared" si="5"/>
        <v>0</v>
      </c>
      <c r="F77" s="664" t="str">
        <f t="shared" si="5"/>
        <v xml:space="preserve"> </v>
      </c>
      <c r="G77" s="665" t="str">
        <f t="shared" si="5"/>
        <v xml:space="preserve"> </v>
      </c>
      <c r="H77" s="666" t="str">
        <f t="shared" ref="H77:X77" si="8">IF($B77&gt;0,(IF($C77="F",H20*$G20,(H20/($F20/100))*$G20))," ")</f>
        <v xml:space="preserve"> </v>
      </c>
      <c r="I77" s="666" t="str">
        <f t="shared" si="8"/>
        <v xml:space="preserve"> </v>
      </c>
      <c r="J77" s="666" t="str">
        <f t="shared" si="8"/>
        <v xml:space="preserve"> </v>
      </c>
      <c r="K77" s="665" t="str">
        <f t="shared" si="8"/>
        <v xml:space="preserve"> </v>
      </c>
      <c r="L77" s="666" t="str">
        <f t="shared" si="8"/>
        <v xml:space="preserve"> </v>
      </c>
      <c r="M77" s="666" t="str">
        <f t="shared" si="8"/>
        <v xml:space="preserve"> </v>
      </c>
      <c r="N77" s="666" t="str">
        <f t="shared" si="8"/>
        <v xml:space="preserve"> </v>
      </c>
      <c r="O77" s="666" t="str">
        <f t="shared" si="8"/>
        <v xml:space="preserve"> </v>
      </c>
      <c r="P77" s="666" t="str">
        <f t="shared" si="8"/>
        <v xml:space="preserve"> </v>
      </c>
      <c r="Q77" s="666" t="str">
        <f t="shared" si="8"/>
        <v xml:space="preserve"> </v>
      </c>
      <c r="R77" s="666" t="str">
        <f t="shared" si="8"/>
        <v xml:space="preserve"> </v>
      </c>
      <c r="S77" s="666" t="str">
        <f t="shared" si="8"/>
        <v xml:space="preserve"> </v>
      </c>
      <c r="T77" s="666" t="str">
        <f t="shared" si="8"/>
        <v xml:space="preserve"> </v>
      </c>
      <c r="U77" s="666" t="str">
        <f t="shared" si="8"/>
        <v xml:space="preserve"> </v>
      </c>
      <c r="V77" s="666" t="str">
        <f t="shared" si="8"/>
        <v xml:space="preserve"> </v>
      </c>
      <c r="W77" s="666" t="str">
        <f t="shared" si="8"/>
        <v xml:space="preserve"> </v>
      </c>
      <c r="X77" s="666" t="str">
        <f t="shared" si="8"/>
        <v xml:space="preserve"> </v>
      </c>
    </row>
    <row r="78" spans="1:24" s="538" customFormat="1">
      <c r="A78" s="661"/>
      <c r="B78" s="662">
        <f t="shared" si="5"/>
        <v>0</v>
      </c>
      <c r="C78" s="663" t="str">
        <f t="shared" si="5"/>
        <v/>
      </c>
      <c r="D78" s="663">
        <f t="shared" si="5"/>
        <v>0</v>
      </c>
      <c r="E78" s="663">
        <f t="shared" si="5"/>
        <v>0</v>
      </c>
      <c r="F78" s="664" t="str">
        <f t="shared" si="5"/>
        <v xml:space="preserve"> </v>
      </c>
      <c r="G78" s="665" t="str">
        <f t="shared" si="5"/>
        <v xml:space="preserve"> </v>
      </c>
      <c r="H78" s="666" t="str">
        <f t="shared" ref="H78:X78" si="9">IF($B78&gt;0,(IF($C78="F",H21*$G21,(H21/($F21/100))*$G21))," ")</f>
        <v xml:space="preserve"> </v>
      </c>
      <c r="I78" s="666" t="str">
        <f t="shared" si="9"/>
        <v xml:space="preserve"> </v>
      </c>
      <c r="J78" s="666" t="str">
        <f t="shared" si="9"/>
        <v xml:space="preserve"> </v>
      </c>
      <c r="K78" s="665" t="str">
        <f t="shared" si="9"/>
        <v xml:space="preserve"> </v>
      </c>
      <c r="L78" s="666" t="str">
        <f t="shared" si="9"/>
        <v xml:space="preserve"> </v>
      </c>
      <c r="M78" s="666" t="str">
        <f t="shared" si="9"/>
        <v xml:space="preserve"> </v>
      </c>
      <c r="N78" s="666" t="str">
        <f t="shared" si="9"/>
        <v xml:space="preserve"> </v>
      </c>
      <c r="O78" s="666" t="str">
        <f t="shared" si="9"/>
        <v xml:space="preserve"> </v>
      </c>
      <c r="P78" s="666" t="str">
        <f t="shared" si="9"/>
        <v xml:space="preserve"> </v>
      </c>
      <c r="Q78" s="666" t="str">
        <f t="shared" si="9"/>
        <v xml:space="preserve"> </v>
      </c>
      <c r="R78" s="666" t="str">
        <f t="shared" si="9"/>
        <v xml:space="preserve"> </v>
      </c>
      <c r="S78" s="666" t="str">
        <f t="shared" si="9"/>
        <v xml:space="preserve"> </v>
      </c>
      <c r="T78" s="666" t="str">
        <f t="shared" si="9"/>
        <v xml:space="preserve"> </v>
      </c>
      <c r="U78" s="666" t="str">
        <f t="shared" si="9"/>
        <v xml:space="preserve"> </v>
      </c>
      <c r="V78" s="666" t="str">
        <f t="shared" si="9"/>
        <v xml:space="preserve"> </v>
      </c>
      <c r="W78" s="666" t="str">
        <f t="shared" si="9"/>
        <v xml:space="preserve"> </v>
      </c>
      <c r="X78" s="666" t="str">
        <f t="shared" si="9"/>
        <v xml:space="preserve"> </v>
      </c>
    </row>
    <row r="79" spans="1:24" s="538" customFormat="1">
      <c r="A79" s="661"/>
      <c r="B79" s="662">
        <f t="shared" si="5"/>
        <v>0</v>
      </c>
      <c r="C79" s="663" t="str">
        <f t="shared" si="5"/>
        <v/>
      </c>
      <c r="D79" s="663">
        <f t="shared" si="5"/>
        <v>0</v>
      </c>
      <c r="E79" s="663">
        <f t="shared" si="5"/>
        <v>0</v>
      </c>
      <c r="F79" s="664" t="str">
        <f t="shared" si="5"/>
        <v xml:space="preserve"> </v>
      </c>
      <c r="G79" s="665" t="str">
        <f t="shared" si="5"/>
        <v xml:space="preserve"> </v>
      </c>
      <c r="H79" s="666" t="str">
        <f t="shared" ref="H79:X79" si="10">IF($B79&gt;0,(IF($C79="F",H22*$G22,(H22/($F22/100))*$G22))," ")</f>
        <v xml:space="preserve"> </v>
      </c>
      <c r="I79" s="666" t="str">
        <f t="shared" si="10"/>
        <v xml:space="preserve"> </v>
      </c>
      <c r="J79" s="666" t="str">
        <f t="shared" si="10"/>
        <v xml:space="preserve"> </v>
      </c>
      <c r="K79" s="665" t="str">
        <f t="shared" si="10"/>
        <v xml:space="preserve"> </v>
      </c>
      <c r="L79" s="666" t="str">
        <f t="shared" si="10"/>
        <v xml:space="preserve"> </v>
      </c>
      <c r="M79" s="666" t="str">
        <f t="shared" si="10"/>
        <v xml:space="preserve"> </v>
      </c>
      <c r="N79" s="666" t="str">
        <f t="shared" si="10"/>
        <v xml:space="preserve"> </v>
      </c>
      <c r="O79" s="666" t="str">
        <f t="shared" si="10"/>
        <v xml:space="preserve"> </v>
      </c>
      <c r="P79" s="666" t="str">
        <f t="shared" si="10"/>
        <v xml:space="preserve"> </v>
      </c>
      <c r="Q79" s="666" t="str">
        <f t="shared" si="10"/>
        <v xml:space="preserve"> </v>
      </c>
      <c r="R79" s="666" t="str">
        <f t="shared" si="10"/>
        <v xml:space="preserve"> </v>
      </c>
      <c r="S79" s="666" t="str">
        <f t="shared" si="10"/>
        <v xml:space="preserve"> </v>
      </c>
      <c r="T79" s="666" t="str">
        <f t="shared" si="10"/>
        <v xml:space="preserve"> </v>
      </c>
      <c r="U79" s="666" t="str">
        <f t="shared" si="10"/>
        <v xml:space="preserve"> </v>
      </c>
      <c r="V79" s="666" t="str">
        <f t="shared" si="10"/>
        <v xml:space="preserve"> </v>
      </c>
      <c r="W79" s="666" t="str">
        <f t="shared" si="10"/>
        <v xml:space="preserve"> </v>
      </c>
      <c r="X79" s="666" t="str">
        <f t="shared" si="10"/>
        <v xml:space="preserve"> </v>
      </c>
    </row>
    <row r="80" spans="1:24" s="538" customFormat="1">
      <c r="A80" s="661"/>
      <c r="B80" s="662">
        <f t="shared" si="5"/>
        <v>0</v>
      </c>
      <c r="C80" s="663" t="str">
        <f t="shared" si="5"/>
        <v/>
      </c>
      <c r="D80" s="663">
        <f t="shared" si="5"/>
        <v>0</v>
      </c>
      <c r="E80" s="663">
        <f t="shared" si="5"/>
        <v>0</v>
      </c>
      <c r="F80" s="664" t="str">
        <f t="shared" si="5"/>
        <v xml:space="preserve"> </v>
      </c>
      <c r="G80" s="665" t="str">
        <f t="shared" si="5"/>
        <v xml:space="preserve"> </v>
      </c>
      <c r="H80" s="666" t="str">
        <f t="shared" ref="H80:X80" si="11">IF($B80&gt;0,(IF($C80="F",H23*$G23,(H23/($F23/100))*$G23))," ")</f>
        <v xml:space="preserve"> </v>
      </c>
      <c r="I80" s="666" t="str">
        <f t="shared" si="11"/>
        <v xml:space="preserve"> </v>
      </c>
      <c r="J80" s="666" t="str">
        <f t="shared" si="11"/>
        <v xml:space="preserve"> </v>
      </c>
      <c r="K80" s="665" t="str">
        <f t="shared" si="11"/>
        <v xml:space="preserve"> </v>
      </c>
      <c r="L80" s="666" t="str">
        <f t="shared" si="11"/>
        <v xml:space="preserve"> </v>
      </c>
      <c r="M80" s="666" t="str">
        <f t="shared" si="11"/>
        <v xml:space="preserve"> </v>
      </c>
      <c r="N80" s="666" t="str">
        <f t="shared" si="11"/>
        <v xml:space="preserve"> </v>
      </c>
      <c r="O80" s="666" t="str">
        <f t="shared" si="11"/>
        <v xml:space="preserve"> </v>
      </c>
      <c r="P80" s="666" t="str">
        <f t="shared" si="11"/>
        <v xml:space="preserve"> </v>
      </c>
      <c r="Q80" s="666" t="str">
        <f t="shared" si="11"/>
        <v xml:space="preserve"> </v>
      </c>
      <c r="R80" s="666" t="str">
        <f t="shared" si="11"/>
        <v xml:space="preserve"> </v>
      </c>
      <c r="S80" s="666" t="str">
        <f t="shared" si="11"/>
        <v xml:space="preserve"> </v>
      </c>
      <c r="T80" s="666" t="str">
        <f t="shared" si="11"/>
        <v xml:space="preserve"> </v>
      </c>
      <c r="U80" s="666" t="str">
        <f t="shared" si="11"/>
        <v xml:space="preserve"> </v>
      </c>
      <c r="V80" s="666" t="str">
        <f t="shared" si="11"/>
        <v xml:space="preserve"> </v>
      </c>
      <c r="W80" s="666" t="str">
        <f t="shared" si="11"/>
        <v xml:space="preserve"> </v>
      </c>
      <c r="X80" s="666" t="str">
        <f t="shared" si="11"/>
        <v xml:space="preserve"> </v>
      </c>
    </row>
    <row r="81" spans="1:24" s="538" customFormat="1">
      <c r="A81" s="661"/>
      <c r="B81" s="662">
        <f t="shared" si="5"/>
        <v>0</v>
      </c>
      <c r="C81" s="663" t="str">
        <f t="shared" si="5"/>
        <v/>
      </c>
      <c r="D81" s="663">
        <f t="shared" si="5"/>
        <v>0</v>
      </c>
      <c r="E81" s="663">
        <f t="shared" si="5"/>
        <v>0</v>
      </c>
      <c r="F81" s="664" t="str">
        <f t="shared" si="5"/>
        <v xml:space="preserve"> </v>
      </c>
      <c r="G81" s="665" t="str">
        <f t="shared" si="5"/>
        <v xml:space="preserve"> </v>
      </c>
      <c r="H81" s="666" t="str">
        <f t="shared" ref="H81:X81" si="12">IF($B81&gt;0,(IF($C81="F",H24*$G24,(H24/($F24/100))*$G24))," ")</f>
        <v xml:space="preserve"> </v>
      </c>
      <c r="I81" s="666" t="str">
        <f t="shared" si="12"/>
        <v xml:space="preserve"> </v>
      </c>
      <c r="J81" s="666" t="str">
        <f t="shared" si="12"/>
        <v xml:space="preserve"> </v>
      </c>
      <c r="K81" s="665" t="str">
        <f t="shared" si="12"/>
        <v xml:space="preserve"> </v>
      </c>
      <c r="L81" s="666" t="str">
        <f t="shared" si="12"/>
        <v xml:space="preserve"> </v>
      </c>
      <c r="M81" s="666" t="str">
        <f t="shared" si="12"/>
        <v xml:space="preserve"> </v>
      </c>
      <c r="N81" s="666" t="str">
        <f t="shared" si="12"/>
        <v xml:space="preserve"> </v>
      </c>
      <c r="O81" s="666" t="str">
        <f t="shared" si="12"/>
        <v xml:space="preserve"> </v>
      </c>
      <c r="P81" s="666" t="str">
        <f t="shared" si="12"/>
        <v xml:space="preserve"> </v>
      </c>
      <c r="Q81" s="666" t="str">
        <f t="shared" si="12"/>
        <v xml:space="preserve"> </v>
      </c>
      <c r="R81" s="666" t="str">
        <f t="shared" si="12"/>
        <v xml:space="preserve"> </v>
      </c>
      <c r="S81" s="666" t="str">
        <f t="shared" si="12"/>
        <v xml:space="preserve"> </v>
      </c>
      <c r="T81" s="666" t="str">
        <f t="shared" si="12"/>
        <v xml:space="preserve"> </v>
      </c>
      <c r="U81" s="666" t="str">
        <f t="shared" si="12"/>
        <v xml:space="preserve"> </v>
      </c>
      <c r="V81" s="666" t="str">
        <f t="shared" si="12"/>
        <v xml:space="preserve"> </v>
      </c>
      <c r="W81" s="666" t="str">
        <f t="shared" si="12"/>
        <v xml:space="preserve"> </v>
      </c>
      <c r="X81" s="666" t="str">
        <f t="shared" si="12"/>
        <v xml:space="preserve"> </v>
      </c>
    </row>
    <row r="82" spans="1:24" s="538" customFormat="1">
      <c r="A82" s="661"/>
      <c r="B82" s="662">
        <f t="shared" si="5"/>
        <v>0</v>
      </c>
      <c r="C82" s="663" t="str">
        <f t="shared" si="5"/>
        <v/>
      </c>
      <c r="D82" s="663">
        <f t="shared" si="5"/>
        <v>0</v>
      </c>
      <c r="E82" s="663">
        <f t="shared" si="5"/>
        <v>0</v>
      </c>
      <c r="F82" s="664" t="str">
        <f t="shared" si="5"/>
        <v xml:space="preserve"> </v>
      </c>
      <c r="G82" s="665" t="str">
        <f t="shared" si="5"/>
        <v xml:space="preserve"> </v>
      </c>
      <c r="H82" s="666" t="str">
        <f t="shared" ref="H82:X82" si="13">IF($B82&gt;0,(IF($C82="F",H25*$G25,(H25/($F25/100))*$G25))," ")</f>
        <v xml:space="preserve"> </v>
      </c>
      <c r="I82" s="666" t="str">
        <f t="shared" si="13"/>
        <v xml:space="preserve"> </v>
      </c>
      <c r="J82" s="666" t="str">
        <f t="shared" si="13"/>
        <v xml:space="preserve"> </v>
      </c>
      <c r="K82" s="665" t="str">
        <f t="shared" si="13"/>
        <v xml:space="preserve"> </v>
      </c>
      <c r="L82" s="666" t="str">
        <f t="shared" si="13"/>
        <v xml:space="preserve"> </v>
      </c>
      <c r="M82" s="666" t="str">
        <f t="shared" si="13"/>
        <v xml:space="preserve"> </v>
      </c>
      <c r="N82" s="666" t="str">
        <f t="shared" si="13"/>
        <v xml:space="preserve"> </v>
      </c>
      <c r="O82" s="666" t="str">
        <f t="shared" si="13"/>
        <v xml:space="preserve"> </v>
      </c>
      <c r="P82" s="666" t="str">
        <f t="shared" si="13"/>
        <v xml:space="preserve"> </v>
      </c>
      <c r="Q82" s="666" t="str">
        <f t="shared" si="13"/>
        <v xml:space="preserve"> </v>
      </c>
      <c r="R82" s="666" t="str">
        <f t="shared" si="13"/>
        <v xml:space="preserve"> </v>
      </c>
      <c r="S82" s="666" t="str">
        <f t="shared" si="13"/>
        <v xml:space="preserve"> </v>
      </c>
      <c r="T82" s="666" t="str">
        <f t="shared" si="13"/>
        <v xml:space="preserve"> </v>
      </c>
      <c r="U82" s="666" t="str">
        <f t="shared" si="13"/>
        <v xml:space="preserve"> </v>
      </c>
      <c r="V82" s="666" t="str">
        <f t="shared" si="13"/>
        <v xml:space="preserve"> </v>
      </c>
      <c r="W82" s="666" t="str">
        <f t="shared" si="13"/>
        <v xml:space="preserve"> </v>
      </c>
      <c r="X82" s="666" t="str">
        <f t="shared" si="13"/>
        <v xml:space="preserve"> </v>
      </c>
    </row>
    <row r="83" spans="1:24" s="538" customFormat="1">
      <c r="A83" s="661"/>
      <c r="B83" s="662">
        <f t="shared" si="5"/>
        <v>0</v>
      </c>
      <c r="C83" s="663" t="str">
        <f t="shared" si="5"/>
        <v/>
      </c>
      <c r="D83" s="663">
        <f>D26</f>
        <v>0</v>
      </c>
      <c r="E83" s="663">
        <f t="shared" si="5"/>
        <v>0</v>
      </c>
      <c r="F83" s="664" t="str">
        <f t="shared" si="5"/>
        <v xml:space="preserve"> </v>
      </c>
      <c r="G83" s="665" t="str">
        <f t="shared" si="5"/>
        <v xml:space="preserve"> </v>
      </c>
      <c r="H83" s="666" t="str">
        <f t="shared" ref="H83:X83" si="14">IF($B83&gt;0,(IF($C83="F",H26*$G26,(H26/($F26/100))*$G26))," ")</f>
        <v xml:space="preserve"> </v>
      </c>
      <c r="I83" s="666" t="str">
        <f t="shared" si="14"/>
        <v xml:space="preserve"> </v>
      </c>
      <c r="J83" s="666" t="str">
        <f t="shared" si="14"/>
        <v xml:space="preserve"> </v>
      </c>
      <c r="K83" s="665" t="str">
        <f t="shared" si="14"/>
        <v xml:space="preserve"> </v>
      </c>
      <c r="L83" s="666" t="str">
        <f t="shared" si="14"/>
        <v xml:space="preserve"> </v>
      </c>
      <c r="M83" s="666" t="str">
        <f t="shared" si="14"/>
        <v xml:space="preserve"> </v>
      </c>
      <c r="N83" s="666" t="str">
        <f t="shared" si="14"/>
        <v xml:space="preserve"> </v>
      </c>
      <c r="O83" s="666" t="str">
        <f t="shared" si="14"/>
        <v xml:space="preserve"> </v>
      </c>
      <c r="P83" s="666" t="str">
        <f t="shared" si="14"/>
        <v xml:space="preserve"> </v>
      </c>
      <c r="Q83" s="666" t="str">
        <f t="shared" si="14"/>
        <v xml:space="preserve"> </v>
      </c>
      <c r="R83" s="666" t="str">
        <f t="shared" si="14"/>
        <v xml:space="preserve"> </v>
      </c>
      <c r="S83" s="666" t="str">
        <f t="shared" si="14"/>
        <v xml:space="preserve"> </v>
      </c>
      <c r="T83" s="666" t="str">
        <f t="shared" si="14"/>
        <v xml:space="preserve"> </v>
      </c>
      <c r="U83" s="666" t="str">
        <f t="shared" si="14"/>
        <v xml:space="preserve"> </v>
      </c>
      <c r="V83" s="666" t="str">
        <f t="shared" si="14"/>
        <v xml:space="preserve"> </v>
      </c>
      <c r="W83" s="666" t="str">
        <f t="shared" si="14"/>
        <v xml:space="preserve"> </v>
      </c>
      <c r="X83" s="666" t="str">
        <f t="shared" si="14"/>
        <v xml:space="preserve"> </v>
      </c>
    </row>
    <row r="84" spans="1:24" s="538" customFormat="1">
      <c r="A84" s="661"/>
      <c r="B84" s="662">
        <f t="shared" si="5"/>
        <v>0</v>
      </c>
      <c r="C84" s="663" t="str">
        <f t="shared" si="5"/>
        <v/>
      </c>
      <c r="D84" s="663">
        <f>D27</f>
        <v>0</v>
      </c>
      <c r="E84" s="663">
        <f t="shared" si="5"/>
        <v>0</v>
      </c>
      <c r="F84" s="664" t="str">
        <f t="shared" si="5"/>
        <v xml:space="preserve"> </v>
      </c>
      <c r="G84" s="665" t="str">
        <f t="shared" si="5"/>
        <v xml:space="preserve"> </v>
      </c>
      <c r="H84" s="666" t="str">
        <f t="shared" ref="H84:X84" si="15">IF($B84&gt;0,(IF($C84="F",H27*$G27,(H27/($F27/100))*$G27))," ")</f>
        <v xml:space="preserve"> </v>
      </c>
      <c r="I84" s="666" t="str">
        <f t="shared" si="15"/>
        <v xml:space="preserve"> </v>
      </c>
      <c r="J84" s="666" t="str">
        <f t="shared" si="15"/>
        <v xml:space="preserve"> </v>
      </c>
      <c r="K84" s="665" t="str">
        <f t="shared" si="15"/>
        <v xml:space="preserve"> </v>
      </c>
      <c r="L84" s="666" t="str">
        <f t="shared" si="15"/>
        <v xml:space="preserve"> </v>
      </c>
      <c r="M84" s="666" t="str">
        <f t="shared" si="15"/>
        <v xml:space="preserve"> </v>
      </c>
      <c r="N84" s="666" t="str">
        <f t="shared" si="15"/>
        <v xml:space="preserve"> </v>
      </c>
      <c r="O84" s="666" t="str">
        <f t="shared" si="15"/>
        <v xml:space="preserve"> </v>
      </c>
      <c r="P84" s="666" t="str">
        <f t="shared" si="15"/>
        <v xml:space="preserve"> </v>
      </c>
      <c r="Q84" s="666" t="str">
        <f t="shared" si="15"/>
        <v xml:space="preserve"> </v>
      </c>
      <c r="R84" s="666" t="str">
        <f t="shared" si="15"/>
        <v xml:space="preserve"> </v>
      </c>
      <c r="S84" s="666" t="str">
        <f t="shared" si="15"/>
        <v xml:space="preserve"> </v>
      </c>
      <c r="T84" s="666" t="str">
        <f t="shared" si="15"/>
        <v xml:space="preserve"> </v>
      </c>
      <c r="U84" s="666" t="str">
        <f t="shared" si="15"/>
        <v xml:space="preserve"> </v>
      </c>
      <c r="V84" s="666" t="str">
        <f t="shared" si="15"/>
        <v xml:space="preserve"> </v>
      </c>
      <c r="W84" s="666" t="str">
        <f t="shared" si="15"/>
        <v xml:space="preserve"> </v>
      </c>
      <c r="X84" s="666" t="str">
        <f t="shared" si="15"/>
        <v xml:space="preserve"> </v>
      </c>
    </row>
    <row r="85" spans="1:24" s="538" customFormat="1">
      <c r="A85" s="661"/>
      <c r="B85" s="662">
        <f t="shared" ref="B85:G90" si="16">B28</f>
        <v>0</v>
      </c>
      <c r="C85" s="663" t="str">
        <f t="shared" si="16"/>
        <v/>
      </c>
      <c r="D85" s="663">
        <f t="shared" si="16"/>
        <v>0</v>
      </c>
      <c r="E85" s="663">
        <f t="shared" si="16"/>
        <v>0</v>
      </c>
      <c r="F85" s="664" t="str">
        <f t="shared" si="16"/>
        <v xml:space="preserve"> </v>
      </c>
      <c r="G85" s="665" t="str">
        <f t="shared" si="16"/>
        <v xml:space="preserve"> </v>
      </c>
      <c r="H85" s="666" t="str">
        <f t="shared" ref="H85:X85" si="17">IF($B85&gt;0,(IF($C85="F",H28*$G28,(H28/($F28/100))*$G28))," ")</f>
        <v xml:space="preserve"> </v>
      </c>
      <c r="I85" s="666" t="str">
        <f t="shared" si="17"/>
        <v xml:space="preserve"> </v>
      </c>
      <c r="J85" s="666" t="str">
        <f t="shared" si="17"/>
        <v xml:space="preserve"> </v>
      </c>
      <c r="K85" s="665" t="str">
        <f t="shared" si="17"/>
        <v xml:space="preserve"> </v>
      </c>
      <c r="L85" s="666" t="str">
        <f t="shared" si="17"/>
        <v xml:space="preserve"> </v>
      </c>
      <c r="M85" s="666" t="str">
        <f t="shared" si="17"/>
        <v xml:space="preserve"> </v>
      </c>
      <c r="N85" s="666" t="str">
        <f t="shared" si="17"/>
        <v xml:space="preserve"> </v>
      </c>
      <c r="O85" s="666" t="str">
        <f t="shared" si="17"/>
        <v xml:space="preserve"> </v>
      </c>
      <c r="P85" s="666" t="str">
        <f t="shared" si="17"/>
        <v xml:space="preserve"> </v>
      </c>
      <c r="Q85" s="666" t="str">
        <f t="shared" si="17"/>
        <v xml:space="preserve"> </v>
      </c>
      <c r="R85" s="666" t="str">
        <f t="shared" si="17"/>
        <v xml:space="preserve"> </v>
      </c>
      <c r="S85" s="666" t="str">
        <f t="shared" si="17"/>
        <v xml:space="preserve"> </v>
      </c>
      <c r="T85" s="666" t="str">
        <f t="shared" si="17"/>
        <v xml:space="preserve"> </v>
      </c>
      <c r="U85" s="666" t="str">
        <f t="shared" si="17"/>
        <v xml:space="preserve"> </v>
      </c>
      <c r="V85" s="666" t="str">
        <f t="shared" si="17"/>
        <v xml:space="preserve"> </v>
      </c>
      <c r="W85" s="666" t="str">
        <f t="shared" si="17"/>
        <v xml:space="preserve"> </v>
      </c>
      <c r="X85" s="666" t="str">
        <f t="shared" si="17"/>
        <v xml:space="preserve"> </v>
      </c>
    </row>
    <row r="86" spans="1:24" s="538" customFormat="1">
      <c r="A86" s="661"/>
      <c r="B86" s="662">
        <f t="shared" si="16"/>
        <v>0</v>
      </c>
      <c r="C86" s="663" t="str">
        <f t="shared" si="16"/>
        <v/>
      </c>
      <c r="D86" s="663">
        <f t="shared" si="16"/>
        <v>0</v>
      </c>
      <c r="E86" s="663">
        <f t="shared" si="16"/>
        <v>0</v>
      </c>
      <c r="F86" s="664" t="str">
        <f t="shared" si="16"/>
        <v xml:space="preserve"> </v>
      </c>
      <c r="G86" s="665" t="str">
        <f t="shared" si="16"/>
        <v xml:space="preserve"> </v>
      </c>
      <c r="H86" s="666" t="str">
        <f t="shared" ref="H86:X86" si="18">IF($B86&gt;0,(IF($C86="F",H29*$G29,(H29/($F29/100))*$G29))," ")</f>
        <v xml:space="preserve"> </v>
      </c>
      <c r="I86" s="666" t="str">
        <f t="shared" si="18"/>
        <v xml:space="preserve"> </v>
      </c>
      <c r="J86" s="666" t="str">
        <f t="shared" si="18"/>
        <v xml:space="preserve"> </v>
      </c>
      <c r="K86" s="665" t="str">
        <f t="shared" si="18"/>
        <v xml:space="preserve"> </v>
      </c>
      <c r="L86" s="666" t="str">
        <f t="shared" si="18"/>
        <v xml:space="preserve"> </v>
      </c>
      <c r="M86" s="666" t="str">
        <f t="shared" si="18"/>
        <v xml:space="preserve"> </v>
      </c>
      <c r="N86" s="666" t="str">
        <f t="shared" si="18"/>
        <v xml:space="preserve"> </v>
      </c>
      <c r="O86" s="666" t="str">
        <f t="shared" si="18"/>
        <v xml:space="preserve"> </v>
      </c>
      <c r="P86" s="666" t="str">
        <f t="shared" si="18"/>
        <v xml:space="preserve"> </v>
      </c>
      <c r="Q86" s="666" t="str">
        <f t="shared" si="18"/>
        <v xml:space="preserve"> </v>
      </c>
      <c r="R86" s="666" t="str">
        <f t="shared" si="18"/>
        <v xml:space="preserve"> </v>
      </c>
      <c r="S86" s="666" t="str">
        <f t="shared" si="18"/>
        <v xml:space="preserve"> </v>
      </c>
      <c r="T86" s="666" t="str">
        <f t="shared" si="18"/>
        <v xml:space="preserve"> </v>
      </c>
      <c r="U86" s="666" t="str">
        <f t="shared" si="18"/>
        <v xml:space="preserve"> </v>
      </c>
      <c r="V86" s="666" t="str">
        <f t="shared" si="18"/>
        <v xml:space="preserve"> </v>
      </c>
      <c r="W86" s="666" t="str">
        <f t="shared" si="18"/>
        <v xml:space="preserve"> </v>
      </c>
      <c r="X86" s="666" t="str">
        <f t="shared" si="18"/>
        <v xml:space="preserve"> </v>
      </c>
    </row>
    <row r="87" spans="1:24" s="538" customFormat="1">
      <c r="A87" s="661"/>
      <c r="B87" s="662">
        <f t="shared" si="16"/>
        <v>0</v>
      </c>
      <c r="C87" s="663" t="str">
        <f t="shared" si="16"/>
        <v/>
      </c>
      <c r="D87" s="663">
        <f t="shared" si="16"/>
        <v>0</v>
      </c>
      <c r="E87" s="663">
        <f t="shared" si="16"/>
        <v>0</v>
      </c>
      <c r="F87" s="664" t="str">
        <f t="shared" si="16"/>
        <v xml:space="preserve"> </v>
      </c>
      <c r="G87" s="665" t="str">
        <f t="shared" si="16"/>
        <v xml:space="preserve"> </v>
      </c>
      <c r="H87" s="666" t="str">
        <f t="shared" ref="H87:X87" si="19">IF($B87&gt;0,(IF($C87="F",H30*$G30,(H30/($F30/100))*$G30))," ")</f>
        <v xml:space="preserve"> </v>
      </c>
      <c r="I87" s="666" t="str">
        <f t="shared" si="19"/>
        <v xml:space="preserve"> </v>
      </c>
      <c r="J87" s="666" t="str">
        <f t="shared" si="19"/>
        <v xml:space="preserve"> </v>
      </c>
      <c r="K87" s="665" t="str">
        <f t="shared" si="19"/>
        <v xml:space="preserve"> </v>
      </c>
      <c r="L87" s="666" t="str">
        <f t="shared" si="19"/>
        <v xml:space="preserve"> </v>
      </c>
      <c r="M87" s="666" t="str">
        <f t="shared" si="19"/>
        <v xml:space="preserve"> </v>
      </c>
      <c r="N87" s="666" t="str">
        <f t="shared" si="19"/>
        <v xml:space="preserve"> </v>
      </c>
      <c r="O87" s="666" t="str">
        <f t="shared" si="19"/>
        <v xml:space="preserve"> </v>
      </c>
      <c r="P87" s="666" t="str">
        <f t="shared" si="19"/>
        <v xml:space="preserve"> </v>
      </c>
      <c r="Q87" s="666" t="str">
        <f t="shared" si="19"/>
        <v xml:space="preserve"> </v>
      </c>
      <c r="R87" s="666" t="str">
        <f t="shared" si="19"/>
        <v xml:space="preserve"> </v>
      </c>
      <c r="S87" s="666" t="str">
        <f t="shared" si="19"/>
        <v xml:space="preserve"> </v>
      </c>
      <c r="T87" s="666" t="str">
        <f t="shared" si="19"/>
        <v xml:space="preserve"> </v>
      </c>
      <c r="U87" s="666" t="str">
        <f t="shared" si="19"/>
        <v xml:space="preserve"> </v>
      </c>
      <c r="V87" s="666" t="str">
        <f t="shared" si="19"/>
        <v xml:space="preserve"> </v>
      </c>
      <c r="W87" s="666" t="str">
        <f t="shared" si="19"/>
        <v xml:space="preserve"> </v>
      </c>
      <c r="X87" s="666" t="str">
        <f t="shared" si="19"/>
        <v xml:space="preserve"> </v>
      </c>
    </row>
    <row r="88" spans="1:24" s="538" customFormat="1">
      <c r="A88" s="661"/>
      <c r="B88" s="662">
        <f t="shared" si="16"/>
        <v>0</v>
      </c>
      <c r="C88" s="663" t="str">
        <f t="shared" si="16"/>
        <v/>
      </c>
      <c r="D88" s="663">
        <f t="shared" si="16"/>
        <v>0</v>
      </c>
      <c r="E88" s="663">
        <f t="shared" si="16"/>
        <v>0</v>
      </c>
      <c r="F88" s="664" t="str">
        <f t="shared" si="16"/>
        <v xml:space="preserve"> </v>
      </c>
      <c r="G88" s="665" t="str">
        <f t="shared" si="16"/>
        <v xml:space="preserve"> </v>
      </c>
      <c r="H88" s="666" t="str">
        <f t="shared" ref="H88:X88" si="20">IF($B88&gt;0,(IF($C88="F",H31*$G31,(H31/($F31/100))*$G31))," ")</f>
        <v xml:space="preserve"> </v>
      </c>
      <c r="I88" s="666" t="str">
        <f t="shared" si="20"/>
        <v xml:space="preserve"> </v>
      </c>
      <c r="J88" s="666" t="str">
        <f t="shared" si="20"/>
        <v xml:space="preserve"> </v>
      </c>
      <c r="K88" s="665" t="str">
        <f t="shared" si="20"/>
        <v xml:space="preserve"> </v>
      </c>
      <c r="L88" s="666" t="str">
        <f t="shared" si="20"/>
        <v xml:space="preserve"> </v>
      </c>
      <c r="M88" s="666" t="str">
        <f t="shared" si="20"/>
        <v xml:space="preserve"> </v>
      </c>
      <c r="N88" s="666" t="str">
        <f t="shared" si="20"/>
        <v xml:space="preserve"> </v>
      </c>
      <c r="O88" s="666" t="str">
        <f t="shared" si="20"/>
        <v xml:space="preserve"> </v>
      </c>
      <c r="P88" s="666" t="str">
        <f t="shared" si="20"/>
        <v xml:space="preserve"> </v>
      </c>
      <c r="Q88" s="666" t="str">
        <f t="shared" si="20"/>
        <v xml:space="preserve"> </v>
      </c>
      <c r="R88" s="666" t="str">
        <f t="shared" si="20"/>
        <v xml:space="preserve"> </v>
      </c>
      <c r="S88" s="666" t="str">
        <f t="shared" si="20"/>
        <v xml:space="preserve"> </v>
      </c>
      <c r="T88" s="666" t="str">
        <f t="shared" si="20"/>
        <v xml:space="preserve"> </v>
      </c>
      <c r="U88" s="666" t="str">
        <f t="shared" si="20"/>
        <v xml:space="preserve"> </v>
      </c>
      <c r="V88" s="666" t="str">
        <f t="shared" si="20"/>
        <v xml:space="preserve"> </v>
      </c>
      <c r="W88" s="666" t="str">
        <f t="shared" si="20"/>
        <v xml:space="preserve"> </v>
      </c>
      <c r="X88" s="666" t="str">
        <f t="shared" si="20"/>
        <v xml:space="preserve"> </v>
      </c>
    </row>
    <row r="89" spans="1:24" s="538" customFormat="1">
      <c r="A89" s="661"/>
      <c r="B89" s="662">
        <f t="shared" si="16"/>
        <v>0</v>
      </c>
      <c r="C89" s="663" t="str">
        <f t="shared" si="16"/>
        <v/>
      </c>
      <c r="D89" s="663">
        <f t="shared" si="16"/>
        <v>0</v>
      </c>
      <c r="E89" s="663">
        <f t="shared" si="16"/>
        <v>0</v>
      </c>
      <c r="F89" s="664" t="str">
        <f t="shared" si="16"/>
        <v xml:space="preserve"> </v>
      </c>
      <c r="G89" s="665" t="str">
        <f t="shared" si="16"/>
        <v xml:space="preserve"> </v>
      </c>
      <c r="H89" s="666" t="str">
        <f t="shared" ref="H89:X89" si="21">IF($B89&gt;0,(IF($C89="F",H32*$G32,(H32/($F32/100))*$G32))," ")</f>
        <v xml:space="preserve"> </v>
      </c>
      <c r="I89" s="666" t="str">
        <f t="shared" si="21"/>
        <v xml:space="preserve"> </v>
      </c>
      <c r="J89" s="666" t="str">
        <f t="shared" si="21"/>
        <v xml:space="preserve"> </v>
      </c>
      <c r="K89" s="665" t="str">
        <f t="shared" si="21"/>
        <v xml:space="preserve"> </v>
      </c>
      <c r="L89" s="666" t="str">
        <f t="shared" si="21"/>
        <v xml:space="preserve"> </v>
      </c>
      <c r="M89" s="666" t="str">
        <f t="shared" si="21"/>
        <v xml:space="preserve"> </v>
      </c>
      <c r="N89" s="666" t="str">
        <f t="shared" si="21"/>
        <v xml:space="preserve"> </v>
      </c>
      <c r="O89" s="666" t="str">
        <f t="shared" si="21"/>
        <v xml:space="preserve"> </v>
      </c>
      <c r="P89" s="666" t="str">
        <f t="shared" si="21"/>
        <v xml:space="preserve"> </v>
      </c>
      <c r="Q89" s="666" t="str">
        <f t="shared" si="21"/>
        <v xml:space="preserve"> </v>
      </c>
      <c r="R89" s="666" t="str">
        <f t="shared" si="21"/>
        <v xml:space="preserve"> </v>
      </c>
      <c r="S89" s="666" t="str">
        <f t="shared" si="21"/>
        <v xml:space="preserve"> </v>
      </c>
      <c r="T89" s="666" t="str">
        <f t="shared" si="21"/>
        <v xml:space="preserve"> </v>
      </c>
      <c r="U89" s="666" t="str">
        <f t="shared" si="21"/>
        <v xml:space="preserve"> </v>
      </c>
      <c r="V89" s="666" t="str">
        <f t="shared" si="21"/>
        <v xml:space="preserve"> </v>
      </c>
      <c r="W89" s="666" t="str">
        <f t="shared" si="21"/>
        <v xml:space="preserve"> </v>
      </c>
      <c r="X89" s="666" t="str">
        <f t="shared" si="21"/>
        <v xml:space="preserve"> </v>
      </c>
    </row>
    <row r="90" spans="1:24" s="538" customFormat="1">
      <c r="A90" s="661"/>
      <c r="B90" s="662">
        <f t="shared" si="16"/>
        <v>0</v>
      </c>
      <c r="C90" s="663" t="str">
        <f t="shared" si="16"/>
        <v/>
      </c>
      <c r="D90" s="663">
        <f t="shared" si="16"/>
        <v>0</v>
      </c>
      <c r="E90" s="663">
        <f t="shared" si="16"/>
        <v>0</v>
      </c>
      <c r="F90" s="664" t="str">
        <f t="shared" si="16"/>
        <v xml:space="preserve"> </v>
      </c>
      <c r="G90" s="665" t="str">
        <f t="shared" si="16"/>
        <v xml:space="preserve"> </v>
      </c>
      <c r="H90" s="666" t="str">
        <f t="shared" ref="H90:X90" si="22">IF($B90&gt;0,(IF($C90="F",H33*$G33,(H33/($F33/100))*$G33))," ")</f>
        <v xml:space="preserve"> </v>
      </c>
      <c r="I90" s="666" t="str">
        <f t="shared" si="22"/>
        <v xml:space="preserve"> </v>
      </c>
      <c r="J90" s="666" t="str">
        <f t="shared" si="22"/>
        <v xml:space="preserve"> </v>
      </c>
      <c r="K90" s="665" t="str">
        <f t="shared" si="22"/>
        <v xml:space="preserve"> </v>
      </c>
      <c r="L90" s="666" t="str">
        <f t="shared" si="22"/>
        <v xml:space="preserve"> </v>
      </c>
      <c r="M90" s="666" t="str">
        <f t="shared" si="22"/>
        <v xml:space="preserve"> </v>
      </c>
      <c r="N90" s="666" t="str">
        <f t="shared" si="22"/>
        <v xml:space="preserve"> </v>
      </c>
      <c r="O90" s="666" t="str">
        <f t="shared" si="22"/>
        <v xml:space="preserve"> </v>
      </c>
      <c r="P90" s="666" t="str">
        <f t="shared" si="22"/>
        <v xml:space="preserve"> </v>
      </c>
      <c r="Q90" s="666" t="str">
        <f t="shared" si="22"/>
        <v xml:space="preserve"> </v>
      </c>
      <c r="R90" s="666" t="str">
        <f t="shared" si="22"/>
        <v xml:space="preserve"> </v>
      </c>
      <c r="S90" s="666" t="str">
        <f t="shared" si="22"/>
        <v xml:space="preserve"> </v>
      </c>
      <c r="T90" s="666" t="str">
        <f t="shared" si="22"/>
        <v xml:space="preserve"> </v>
      </c>
      <c r="U90" s="666" t="str">
        <f t="shared" si="22"/>
        <v xml:space="preserve"> </v>
      </c>
      <c r="V90" s="666" t="str">
        <f t="shared" si="22"/>
        <v xml:space="preserve"> </v>
      </c>
      <c r="W90" s="666" t="str">
        <f t="shared" si="22"/>
        <v xml:space="preserve"> </v>
      </c>
      <c r="X90" s="666" t="str">
        <f t="shared" si="22"/>
        <v xml:space="preserve"> </v>
      </c>
    </row>
    <row r="91" spans="1:24" s="538" customFormat="1">
      <c r="A91" s="662"/>
      <c r="B91" s="662"/>
      <c r="C91" s="662"/>
      <c r="D91" s="667">
        <f>SUM(D75:D90)</f>
        <v>0</v>
      </c>
      <c r="E91" s="668" t="e">
        <f>G91/D91</f>
        <v>#DIV/0!</v>
      </c>
      <c r="F91" s="662"/>
      <c r="G91" s="667">
        <f t="shared" ref="G91:X91" si="23">SUM(G75:G90)</f>
        <v>0</v>
      </c>
      <c r="H91" s="669">
        <f t="shared" si="23"/>
        <v>0</v>
      </c>
      <c r="I91" s="669">
        <f>SUM(I75:I90)</f>
        <v>0</v>
      </c>
      <c r="J91" s="669">
        <f t="shared" si="23"/>
        <v>0</v>
      </c>
      <c r="K91" s="670">
        <f t="shared" si="23"/>
        <v>0</v>
      </c>
      <c r="L91" s="669">
        <f t="shared" si="23"/>
        <v>0</v>
      </c>
      <c r="M91" s="669">
        <f t="shared" si="23"/>
        <v>0</v>
      </c>
      <c r="N91" s="669">
        <f t="shared" si="23"/>
        <v>0</v>
      </c>
      <c r="O91" s="667">
        <f t="shared" si="23"/>
        <v>0</v>
      </c>
      <c r="P91" s="667">
        <f t="shared" si="23"/>
        <v>0</v>
      </c>
      <c r="Q91" s="669">
        <f t="shared" si="23"/>
        <v>0</v>
      </c>
      <c r="R91" s="669">
        <f t="shared" si="23"/>
        <v>0</v>
      </c>
      <c r="S91" s="669">
        <f t="shared" si="23"/>
        <v>0</v>
      </c>
      <c r="T91" s="669">
        <f t="shared" si="23"/>
        <v>0</v>
      </c>
      <c r="U91" s="669">
        <f t="shared" si="23"/>
        <v>0</v>
      </c>
      <c r="V91" s="669">
        <f t="shared" si="23"/>
        <v>0</v>
      </c>
      <c r="W91" s="669">
        <f t="shared" si="23"/>
        <v>0</v>
      </c>
      <c r="X91" s="670">
        <f t="shared" si="23"/>
        <v>0</v>
      </c>
    </row>
    <row r="92" spans="1:24" s="538" customFormat="1">
      <c r="H92" s="671" t="str">
        <f>IF(A92&gt;0,(IF($C$75="F",H35*$G$18,(H35/($F$18/100))*$G$18))," ")</f>
        <v xml:space="preserve"> </v>
      </c>
    </row>
    <row r="93" spans="1:24" s="538" customFormat="1"/>
    <row r="94" spans="1:24" s="538" customFormat="1"/>
    <row r="95" spans="1:24" s="538" customFormat="1"/>
  </sheetData>
  <sheetProtection algorithmName="SHA-512" hashValue="+oyHTJJg8Po6KKEMOa0UEeRBKpiBlQ/n9wAgk2XmueG2a2kR/gINspZdlmuT2Xzb7bkg5OIekyx2bF6v4xHAXw==" saltValue="465LHZH5OTB7SbETMLgKJg==" spinCount="100000" sheet="1" objects="1" scenarios="1"/>
  <mergeCells count="6">
    <mergeCell ref="B42:C42"/>
    <mergeCell ref="B1:X1"/>
    <mergeCell ref="R35:U35"/>
    <mergeCell ref="C3:F3"/>
    <mergeCell ref="C4:F4"/>
    <mergeCell ref="C5:F5"/>
  </mergeCells>
  <conditionalFormatting sqref="G39">
    <cfRule type="expression" dxfId="107" priority="15">
      <formula>$G$39&lt;0.93</formula>
    </cfRule>
    <cfRule type="expression" dxfId="106" priority="16">
      <formula>$G$39&gt;0.98</formula>
    </cfRule>
  </conditionalFormatting>
  <conditionalFormatting sqref="H39">
    <cfRule type="expression" dxfId="105" priority="13">
      <formula>$H$39&lt;0.93</formula>
    </cfRule>
    <cfRule type="expression" dxfId="104" priority="14">
      <formula>$H$39&gt;0.98</formula>
    </cfRule>
  </conditionalFormatting>
  <conditionalFormatting sqref="I39">
    <cfRule type="expression" dxfId="103" priority="11">
      <formula>$I$39&lt;0.93</formula>
    </cfRule>
    <cfRule type="expression" dxfId="102" priority="12">
      <formula>$I$39&gt;0.98</formula>
    </cfRule>
  </conditionalFormatting>
  <conditionalFormatting sqref="K39">
    <cfRule type="expression" dxfId="101" priority="9">
      <formula>$K$39&lt;0.93</formula>
    </cfRule>
    <cfRule type="expression" dxfId="100" priority="10">
      <formula>$K$39&gt;0.98</formula>
    </cfRule>
  </conditionalFormatting>
  <conditionalFormatting sqref="L39">
    <cfRule type="expression" dxfId="99" priority="7">
      <formula>$L$39&lt;0.93</formula>
    </cfRule>
    <cfRule type="expression" dxfId="98" priority="8">
      <formula>$L$39&gt;0.98</formula>
    </cfRule>
  </conditionalFormatting>
  <conditionalFormatting sqref="M39">
    <cfRule type="expression" dxfId="97" priority="5">
      <formula>$M$39&lt;0.93</formula>
    </cfRule>
    <cfRule type="expression" dxfId="96" priority="6">
      <formula>$M$39&gt;0.98</formula>
    </cfRule>
  </conditionalFormatting>
  <conditionalFormatting sqref="O39">
    <cfRule type="expression" dxfId="95" priority="2">
      <formula>$O$39&lt;0.93</formula>
    </cfRule>
    <cfRule type="expression" dxfId="94" priority="4">
      <formula>$O$39&gt;0.98</formula>
    </cfRule>
  </conditionalFormatting>
  <conditionalFormatting sqref="P4">
    <cfRule type="expression" dxfId="93" priority="24">
      <formula>$P$4&lt;(-50)</formula>
    </cfRule>
    <cfRule type="expression" dxfId="92" priority="25">
      <formula>$P$4&gt;100</formula>
    </cfRule>
  </conditionalFormatting>
  <conditionalFormatting sqref="P39">
    <cfRule type="expression" dxfId="91" priority="1">
      <formula>$P$39&lt;0.93</formula>
    </cfRule>
    <cfRule type="expression" dxfId="90" priority="3">
      <formula>$P$39&gt;0.98</formula>
    </cfRule>
  </conditionalFormatting>
  <conditionalFormatting sqref="R38">
    <cfRule type="expression" dxfId="89" priority="95">
      <formula>$R$38&lt;$R$41</formula>
    </cfRule>
    <cfRule type="expression" dxfId="88" priority="96">
      <formula>$R$38&gt;$R$42</formula>
    </cfRule>
  </conditionalFormatting>
  <conditionalFormatting sqref="S38">
    <cfRule type="expression" dxfId="87" priority="97">
      <formula>$S$38&lt;$S$41</formula>
    </cfRule>
  </conditionalFormatting>
  <conditionalFormatting sqref="T38">
    <cfRule type="expression" dxfId="86" priority="98">
      <formula>$T$38&lt;$T$41</formula>
    </cfRule>
  </conditionalFormatting>
  <conditionalFormatting sqref="U38">
    <cfRule type="expression" dxfId="85" priority="99">
      <formula>$U$38&lt;$U$41</formula>
    </cfRule>
  </conditionalFormatting>
  <conditionalFormatting sqref="V38">
    <cfRule type="expression" dxfId="84" priority="100">
      <formula>$V$38&gt;$V$42</formula>
    </cfRule>
  </conditionalFormatting>
  <conditionalFormatting sqref="W38">
    <cfRule type="expression" dxfId="83" priority="22">
      <formula>$P$4&lt;(-50)</formula>
    </cfRule>
    <cfRule type="expression" dxfId="82" priority="23">
      <formula>$P$4&gt;100</formula>
    </cfRule>
  </conditionalFormatting>
  <dataValidations count="1">
    <dataValidation type="list" allowBlank="1" showInputMessage="1" showErrorMessage="1" sqref="D10" xr:uid="{FC5F345F-C25C-48EB-8AA0-243E20581D5D}">
      <formula1>$AE$3:$AE$4</formula1>
    </dataValidation>
  </dataValidations>
  <pageMargins left="0.7" right="0.7" top="0.75" bottom="0.75" header="0.3" footer="0.3"/>
  <pageSetup paperSize="9"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B96FEA6-04DA-4E2C-B346-A621EF0A2303}">
          <x14:formula1>
            <xm:f>'Liste des aliments'!$C$6:$C$966</xm:f>
          </x14:formula1>
          <xm:sqref>B18:B33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B91C4-A1E1-414A-9319-9864001F0814}">
  <sheetPr codeName="Feuil6">
    <tabColor rgb="FF9CD45E"/>
  </sheetPr>
  <dimension ref="A2:H59"/>
  <sheetViews>
    <sheetView showGridLines="0" zoomScaleNormal="100" zoomScaleSheetLayoutView="145" workbookViewId="0">
      <selection activeCell="J4" sqref="J4"/>
    </sheetView>
  </sheetViews>
  <sheetFormatPr baseColWidth="10" defaultColWidth="11.44140625" defaultRowHeight="14.4"/>
  <cols>
    <col min="1" max="1" width="28.33203125" customWidth="1"/>
    <col min="2" max="2" width="10.109375" customWidth="1"/>
    <col min="3" max="3" width="9.109375" customWidth="1"/>
    <col min="4" max="4" width="8.6640625" customWidth="1"/>
    <col min="5" max="5" width="11.44140625" customWidth="1"/>
    <col min="6" max="6" width="6.109375" customWidth="1"/>
    <col min="7" max="7" width="7.33203125" customWidth="1"/>
    <col min="8" max="8" width="17.5546875" customWidth="1"/>
  </cols>
  <sheetData>
    <row r="2" spans="1:8" ht="24" customHeight="1">
      <c r="F2" s="40"/>
      <c r="G2" s="786">
        <f ca="1">TODAY()</f>
        <v>45922</v>
      </c>
      <c r="H2" s="786"/>
    </row>
    <row r="3" spans="1:8" s="32" customFormat="1" ht="12" customHeight="1">
      <c r="A3" s="19" t="s">
        <v>224</v>
      </c>
      <c r="B3" s="42"/>
      <c r="C3" s="42"/>
      <c r="G3" s="77"/>
    </row>
    <row r="4" spans="1:8" s="32" customFormat="1" ht="12" customHeight="1">
      <c r="A4" s="20" t="s">
        <v>225</v>
      </c>
      <c r="B4" s="42"/>
      <c r="C4" s="42"/>
    </row>
    <row r="5" spans="1:8" s="32" customFormat="1" ht="12" customHeight="1">
      <c r="A5" s="20" t="s">
        <v>226</v>
      </c>
      <c r="B5" s="42"/>
      <c r="C5" s="42"/>
    </row>
    <row r="6" spans="1:8" s="32" customFormat="1" ht="12" customHeight="1">
      <c r="A6" s="42" t="str">
        <f>_xlfn.CONCAT("Ration établie par : ",'   VT   '!C5:F5)</f>
        <v xml:space="preserve">Ration établie par : </v>
      </c>
      <c r="B6" s="42"/>
      <c r="C6" s="42"/>
    </row>
    <row r="7" spans="1:8" ht="5.25" customHeight="1"/>
    <row r="8" spans="1:8" ht="23.4">
      <c r="A8" s="783" t="str">
        <f>_xlfn.CONCAT("RATION : ",'   VT   '!C3:F3," - ",'   VT   '!C4:F4)</f>
        <v xml:space="preserve">RATION :  - </v>
      </c>
      <c r="B8" s="784"/>
      <c r="C8" s="784"/>
      <c r="D8" s="784"/>
      <c r="E8" s="784"/>
      <c r="F8" s="784"/>
      <c r="G8" s="784"/>
      <c r="H8" s="785"/>
    </row>
    <row r="10" spans="1:8" ht="12.9" customHeight="1">
      <c r="A10" s="21" t="s">
        <v>227</v>
      </c>
      <c r="B10" s="22"/>
      <c r="C10" s="23"/>
      <c r="D10" s="21" t="s">
        <v>260</v>
      </c>
      <c r="E10" s="22"/>
      <c r="F10" s="22"/>
      <c r="G10" s="22"/>
      <c r="H10" s="31"/>
    </row>
    <row r="11" spans="1:8" ht="12.9" customHeight="1">
      <c r="A11" s="23" t="s">
        <v>167</v>
      </c>
      <c r="B11" s="24">
        <f>'   VT   '!D9</f>
        <v>680</v>
      </c>
      <c r="C11" s="23"/>
      <c r="D11" s="23"/>
      <c r="E11" s="23"/>
      <c r="F11" s="23"/>
      <c r="G11" s="23"/>
      <c r="H11" s="32"/>
    </row>
    <row r="12" spans="1:8" ht="12.9" customHeight="1">
      <c r="A12" s="23" t="s">
        <v>255</v>
      </c>
      <c r="B12" s="28">
        <f>'   VT   '!D10</f>
        <v>9</v>
      </c>
      <c r="C12" s="23"/>
      <c r="D12" s="23"/>
      <c r="E12" s="23"/>
      <c r="F12" s="23"/>
      <c r="G12" s="23"/>
      <c r="H12" s="32"/>
    </row>
    <row r="13" spans="1:8" ht="12.9" customHeight="1">
      <c r="A13" s="23"/>
      <c r="B13" s="25"/>
      <c r="C13" s="23"/>
      <c r="D13" s="23"/>
      <c r="E13" s="23"/>
      <c r="F13" s="23"/>
      <c r="G13" s="23"/>
      <c r="H13" s="32"/>
    </row>
    <row r="14" spans="1:8" ht="12.9" customHeight="1">
      <c r="A14" s="23"/>
      <c r="B14" s="25"/>
      <c r="C14" s="23"/>
      <c r="D14" s="23"/>
      <c r="E14" s="23"/>
      <c r="F14" s="23"/>
      <c r="G14" s="23"/>
      <c r="H14" s="32"/>
    </row>
    <row r="15" spans="1:8" ht="12.9" customHeight="1">
      <c r="A15" s="21" t="s">
        <v>232</v>
      </c>
      <c r="B15" s="26"/>
      <c r="C15" s="23"/>
      <c r="D15" s="23"/>
      <c r="E15" s="23"/>
      <c r="F15" s="23"/>
      <c r="G15" s="23"/>
      <c r="H15" s="32"/>
    </row>
    <row r="16" spans="1:8" ht="12.9" customHeight="1">
      <c r="A16" s="23" t="s">
        <v>233</v>
      </c>
      <c r="B16" s="27">
        <f>'   VT   '!X37</f>
        <v>0</v>
      </c>
      <c r="C16" s="23"/>
      <c r="D16" s="23"/>
      <c r="E16" s="23"/>
      <c r="F16" s="23"/>
      <c r="G16" s="23"/>
      <c r="H16" s="32"/>
    </row>
    <row r="17" spans="1:8" ht="12.9" customHeight="1">
      <c r="A17" s="23" t="s">
        <v>234</v>
      </c>
      <c r="B17" s="87">
        <f>'   VT   '!P3*100</f>
        <v>0</v>
      </c>
      <c r="C17" s="23"/>
      <c r="D17" s="23"/>
      <c r="E17" s="23"/>
      <c r="F17" s="23"/>
      <c r="G17" s="23"/>
      <c r="H17" s="32"/>
    </row>
    <row r="18" spans="1:8" ht="12.9" customHeight="1">
      <c r="A18" s="23" t="s">
        <v>235</v>
      </c>
      <c r="B18" s="28" t="e">
        <f>'   VT   '!M38/'   VT   '!K38</f>
        <v>#DIV/0!</v>
      </c>
      <c r="C18" s="23"/>
      <c r="D18" s="23"/>
      <c r="E18" s="23"/>
      <c r="F18" s="23"/>
      <c r="G18" s="23"/>
      <c r="H18" s="32"/>
    </row>
    <row r="19" spans="1:8" ht="12.9" customHeight="1">
      <c r="A19" s="23" t="s">
        <v>236</v>
      </c>
      <c r="B19" s="28" t="e">
        <f>'   VT   '!I37/('   VT   '!H37/1000)</f>
        <v>#DIV/0!</v>
      </c>
      <c r="C19" s="23"/>
      <c r="D19" s="23"/>
      <c r="E19" s="23"/>
      <c r="F19" s="23"/>
      <c r="G19" s="23"/>
      <c r="H19" s="32"/>
    </row>
    <row r="20" spans="1:8" ht="12.9" customHeight="1">
      <c r="A20" s="23" t="s">
        <v>237</v>
      </c>
      <c r="B20" s="29" t="e">
        <f>'   VT   '!E37</f>
        <v>#DIV/0!</v>
      </c>
      <c r="C20" s="23"/>
      <c r="D20" s="23"/>
      <c r="E20" s="23"/>
      <c r="F20" s="23"/>
      <c r="G20" s="23"/>
      <c r="H20" s="32"/>
    </row>
    <row r="21" spans="1:8" ht="12.9" customHeight="1">
      <c r="A21" s="23" t="s">
        <v>263</v>
      </c>
      <c r="B21" s="80" t="e">
        <f>'   VT   '!W38</f>
        <v>#DIV/0!</v>
      </c>
      <c r="C21" s="23"/>
      <c r="D21" s="23"/>
      <c r="E21" s="23"/>
      <c r="F21" s="23"/>
      <c r="G21" s="23"/>
      <c r="H21" s="32"/>
    </row>
    <row r="22" spans="1:8" ht="12.9" customHeight="1">
      <c r="A22" s="23"/>
      <c r="B22" s="23"/>
      <c r="C22" s="23"/>
      <c r="D22" s="23"/>
      <c r="E22" s="23"/>
      <c r="F22" s="23"/>
      <c r="G22" s="23"/>
      <c r="H22" s="32"/>
    </row>
    <row r="23" spans="1:8" ht="12.9" customHeight="1">
      <c r="A23" s="23"/>
      <c r="B23" s="23"/>
      <c r="C23" s="23"/>
      <c r="D23" s="23"/>
      <c r="E23" s="23"/>
      <c r="F23" s="23"/>
      <c r="G23" s="23"/>
      <c r="H23" s="32"/>
    </row>
    <row r="24" spans="1:8" ht="12.9" customHeight="1">
      <c r="A24" s="21" t="s">
        <v>186</v>
      </c>
      <c r="B24" s="22"/>
      <c r="C24" s="22"/>
      <c r="D24" s="22"/>
      <c r="E24" s="22"/>
      <c r="F24" s="22"/>
      <c r="G24" s="22"/>
      <c r="H24" s="31"/>
    </row>
    <row r="25" spans="1:8" ht="9" customHeight="1">
      <c r="A25" s="23"/>
      <c r="B25" s="23"/>
      <c r="C25" s="23"/>
      <c r="D25" s="23"/>
      <c r="E25" s="23"/>
      <c r="F25" s="23"/>
      <c r="G25" s="23"/>
    </row>
    <row r="26" spans="1:8" ht="17.399999999999999" customHeight="1">
      <c r="A26" s="72" t="s">
        <v>238</v>
      </c>
      <c r="B26" s="72" t="s">
        <v>188</v>
      </c>
      <c r="C26" s="72" t="s">
        <v>191</v>
      </c>
      <c r="D26" s="30"/>
      <c r="E26" s="23"/>
      <c r="F26" s="23"/>
      <c r="G26" s="23"/>
    </row>
    <row r="27" spans="1:8" ht="15" customHeight="1">
      <c r="A27" s="69" t="str">
        <f>IF(ISBLANK('   VT   '!B18),"",'   VT   '!B18)</f>
        <v/>
      </c>
      <c r="B27" s="70" t="str">
        <f>IF(ISBLANK('   VT   '!B18)," ",'   VT   '!D18)</f>
        <v xml:space="preserve"> </v>
      </c>
      <c r="C27" s="71" t="str">
        <f>'   VT   '!G18</f>
        <v xml:space="preserve"> </v>
      </c>
      <c r="D27" s="30"/>
      <c r="E27" s="38" t="s">
        <v>239</v>
      </c>
      <c r="F27" s="36">
        <f>'   VT   '!D37</f>
        <v>0</v>
      </c>
      <c r="G27" s="34" t="s">
        <v>240</v>
      </c>
    </row>
    <row r="28" spans="1:8" ht="15" customHeight="1">
      <c r="A28" s="69" t="str">
        <f>IF(ISBLANK('   VT   '!B19),"",'   VT   '!B19)</f>
        <v/>
      </c>
      <c r="B28" s="70" t="str">
        <f>IF(ISBLANK('   VT   '!B19)," ",'   VT   '!D19)</f>
        <v xml:space="preserve"> </v>
      </c>
      <c r="C28" s="71" t="str">
        <f>'   VT   '!G19</f>
        <v xml:space="preserve"> </v>
      </c>
      <c r="D28" s="30"/>
      <c r="E28" s="39" t="s">
        <v>241</v>
      </c>
      <c r="F28" s="37">
        <f>'   VT   '!G37</f>
        <v>0</v>
      </c>
      <c r="G28" s="35" t="s">
        <v>240</v>
      </c>
    </row>
    <row r="29" spans="1:8" ht="15" customHeight="1">
      <c r="A29" s="69" t="str">
        <f>IF(ISBLANK('   VT   '!B20),"",'   VT   '!B20)</f>
        <v/>
      </c>
      <c r="B29" s="70" t="str">
        <f>IF(ISBLANK('   VT   '!B20)," ",'   VT   '!D20)</f>
        <v xml:space="preserve"> </v>
      </c>
      <c r="C29" s="71" t="str">
        <f>'   VT   '!G20</f>
        <v xml:space="preserve"> </v>
      </c>
      <c r="D29" s="30"/>
      <c r="E29" s="23"/>
      <c r="F29" s="23"/>
      <c r="G29" s="23"/>
      <c r="H29" s="32"/>
    </row>
    <row r="30" spans="1:8" ht="15" customHeight="1">
      <c r="A30" s="69" t="str">
        <f>IF(ISBLANK('   VT   '!B21),"",'   VT   '!B21)</f>
        <v/>
      </c>
      <c r="B30" s="70" t="str">
        <f>IF(ISBLANK('   VT   '!B21)," ",'   VT   '!D21)</f>
        <v xml:space="preserve"> </v>
      </c>
      <c r="C30" s="71" t="str">
        <f>'   VT   '!G21</f>
        <v xml:space="preserve"> </v>
      </c>
      <c r="D30" s="30"/>
      <c r="E30" s="23"/>
      <c r="F30" s="23"/>
      <c r="G30" s="23"/>
      <c r="H30" s="32"/>
    </row>
    <row r="31" spans="1:8" ht="15" customHeight="1">
      <c r="A31" s="69" t="str">
        <f>IF(ISBLANK('   VT   '!B22),"",'   VT   '!B22)</f>
        <v/>
      </c>
      <c r="B31" s="70" t="str">
        <f>IF(ISBLANK('   VT   '!B22)," ",'   VT   '!D22)</f>
        <v xml:space="preserve"> </v>
      </c>
      <c r="C31" s="71" t="str">
        <f>'   VT   '!G22</f>
        <v xml:space="preserve"> </v>
      </c>
      <c r="D31" s="30"/>
      <c r="E31" s="23"/>
      <c r="F31" s="23"/>
      <c r="G31" s="23"/>
      <c r="H31" s="32"/>
    </row>
    <row r="32" spans="1:8" ht="15" customHeight="1">
      <c r="A32" s="69" t="str">
        <f>IF(ISBLANK('   VT   '!B23),"",'   VT   '!B23)</f>
        <v/>
      </c>
      <c r="B32" s="70" t="str">
        <f>IF(ISBLANK('   VT   '!B23)," ",'   VT   '!D23)</f>
        <v xml:space="preserve"> </v>
      </c>
      <c r="C32" s="71" t="str">
        <f>'   VT   '!G23</f>
        <v xml:space="preserve"> </v>
      </c>
      <c r="D32" s="30"/>
      <c r="E32" s="23"/>
      <c r="F32" s="23"/>
      <c r="G32" s="23"/>
      <c r="H32" s="32"/>
    </row>
    <row r="33" spans="1:8" ht="15" customHeight="1">
      <c r="A33" s="69" t="str">
        <f>IF(ISBLANK('   VT   '!B24),"",'   VT   '!B24)</f>
        <v/>
      </c>
      <c r="B33" s="70" t="str">
        <f>IF(ISBLANK('   VT   '!B24)," ",'   VT   '!D24)</f>
        <v xml:space="preserve"> </v>
      </c>
      <c r="C33" s="71" t="str">
        <f>'   VT   '!G24</f>
        <v xml:space="preserve"> </v>
      </c>
      <c r="D33" s="33"/>
      <c r="E33" s="32"/>
      <c r="F33" s="32"/>
      <c r="G33" s="32"/>
      <c r="H33" s="32"/>
    </row>
    <row r="34" spans="1:8" ht="15" customHeight="1">
      <c r="A34" s="69" t="str">
        <f>IF(ISBLANK('   VT   '!B25),"",'   VT   '!B25)</f>
        <v/>
      </c>
      <c r="B34" s="70" t="str">
        <f>IF(ISBLANK('   VT   '!B25)," ",'   VT   '!D25)</f>
        <v xml:space="preserve"> </v>
      </c>
      <c r="C34" s="71" t="str">
        <f>'   VT   '!G25</f>
        <v xml:space="preserve"> </v>
      </c>
      <c r="D34" s="33"/>
      <c r="E34" s="32"/>
      <c r="F34" s="32"/>
      <c r="G34" s="32"/>
      <c r="H34" s="32"/>
    </row>
    <row r="35" spans="1:8" ht="15" customHeight="1">
      <c r="A35" s="69" t="str">
        <f>IF(ISBLANK('   VT   '!B26),"",'   VT   '!B26)</f>
        <v/>
      </c>
      <c r="B35" s="70" t="str">
        <f>IF(ISBLANK('   VT   '!B26)," ",'   VT   '!D26)</f>
        <v xml:space="preserve"> </v>
      </c>
      <c r="C35" s="71" t="str">
        <f>'   VT   '!G26</f>
        <v xml:space="preserve"> </v>
      </c>
      <c r="D35" s="33"/>
      <c r="E35" s="32"/>
      <c r="F35" s="32"/>
      <c r="G35" s="32"/>
      <c r="H35" s="32"/>
    </row>
    <row r="36" spans="1:8" ht="15" customHeight="1">
      <c r="A36" s="69" t="str">
        <f>IF(ISBLANK('   VT   '!B27),"",'   VT   '!B27)</f>
        <v/>
      </c>
      <c r="B36" s="70" t="str">
        <f>IF(ISBLANK('   VT   '!B27)," ",'   VT   '!D27)</f>
        <v xml:space="preserve"> </v>
      </c>
      <c r="C36" s="71" t="str">
        <f>'   VT   '!G27</f>
        <v xml:space="preserve"> </v>
      </c>
      <c r="D36" s="33"/>
      <c r="E36" s="32"/>
      <c r="F36" s="32"/>
      <c r="G36" s="32"/>
      <c r="H36" s="32"/>
    </row>
    <row r="37" spans="1:8" ht="15" customHeight="1">
      <c r="A37" s="69" t="str">
        <f>IF(ISBLANK('   VT   '!B28),"",'   VT   '!B28)</f>
        <v/>
      </c>
      <c r="B37" s="70" t="str">
        <f>IF(ISBLANK('   VT   '!B28)," ",'   VT   '!D28)</f>
        <v xml:space="preserve"> </v>
      </c>
      <c r="C37" s="71" t="str">
        <f>'   VT   '!G28</f>
        <v xml:space="preserve"> </v>
      </c>
      <c r="D37" s="33"/>
      <c r="E37" s="32"/>
      <c r="F37" s="32"/>
      <c r="G37" s="32"/>
      <c r="H37" s="32"/>
    </row>
    <row r="38" spans="1:8" ht="15" customHeight="1">
      <c r="A38" s="69" t="str">
        <f>IF(ISBLANK('   VT   '!B29),"",'   VT   '!B29)</f>
        <v/>
      </c>
      <c r="B38" s="70" t="str">
        <f>IF(ISBLANK('   VT   '!B29)," ",'   VT   '!D29)</f>
        <v xml:space="preserve"> </v>
      </c>
      <c r="C38" s="71" t="str">
        <f>'   VT   '!G29</f>
        <v xml:space="preserve"> </v>
      </c>
      <c r="D38" s="33"/>
      <c r="E38" s="32"/>
      <c r="F38" s="32"/>
      <c r="G38" s="32"/>
      <c r="H38" s="32"/>
    </row>
    <row r="39" spans="1:8" ht="15" customHeight="1">
      <c r="A39" s="69" t="str">
        <f>IF(ISBLANK('   VT   '!B30),"",'   VT   '!B30)</f>
        <v/>
      </c>
      <c r="B39" s="70" t="str">
        <f>IF(ISBLANK('   VT   '!B30)," ",'   VT   '!D30)</f>
        <v xml:space="preserve"> </v>
      </c>
      <c r="C39" s="71" t="str">
        <f>'   VT   '!G30</f>
        <v xml:space="preserve"> </v>
      </c>
      <c r="D39" s="33"/>
      <c r="E39" s="32"/>
      <c r="F39" s="32"/>
      <c r="G39" s="32"/>
      <c r="H39" s="32"/>
    </row>
    <row r="40" spans="1:8" ht="15" customHeight="1">
      <c r="A40" s="69" t="str">
        <f>IF(ISBLANK('   VT   '!B31),"",'   VT   '!B31)</f>
        <v/>
      </c>
      <c r="B40" s="70" t="str">
        <f>IF(ISBLANK('   VT   '!B31)," ",'   VT   '!D31)</f>
        <v xml:space="preserve"> </v>
      </c>
      <c r="C40" s="71" t="str">
        <f>'   VT   '!G31</f>
        <v xml:space="preserve"> </v>
      </c>
      <c r="D40" s="33"/>
      <c r="E40" s="32"/>
      <c r="F40" s="32"/>
      <c r="G40" s="32"/>
      <c r="H40" s="32"/>
    </row>
    <row r="41" spans="1:8" ht="15" customHeight="1">
      <c r="A41" s="69" t="str">
        <f>IF(ISBLANK('   VT   '!B32),"",'   VT   '!B32)</f>
        <v/>
      </c>
      <c r="B41" s="70" t="str">
        <f>IF(ISBLANK('   VT   '!B32)," ",'   VT   '!D32)</f>
        <v xml:space="preserve"> </v>
      </c>
      <c r="C41" s="71" t="str">
        <f>'   VT   '!G32</f>
        <v xml:space="preserve"> </v>
      </c>
      <c r="D41" s="33"/>
      <c r="E41" s="32"/>
      <c r="F41" s="32"/>
      <c r="G41" s="32"/>
      <c r="H41" s="32"/>
    </row>
    <row r="42" spans="1:8" ht="15" customHeight="1">
      <c r="A42" s="69" t="str">
        <f>IF(ISBLANK('   VT   '!B33),"",'   VT   '!B33)</f>
        <v/>
      </c>
      <c r="B42" s="70" t="str">
        <f>IF(ISBLANK('   VT   '!B33)," ",'   VT   '!D33)</f>
        <v xml:space="preserve"> </v>
      </c>
      <c r="C42" s="71" t="str">
        <f>'   VT   '!G33</f>
        <v xml:space="preserve"> </v>
      </c>
      <c r="D42" s="32"/>
      <c r="E42" s="32"/>
      <c r="F42" s="32"/>
      <c r="G42" s="32"/>
      <c r="H42" s="32"/>
    </row>
    <row r="43" spans="1:8" ht="5.4" customHeight="1">
      <c r="B43" s="68"/>
      <c r="C43" s="6"/>
      <c r="D43" s="32"/>
      <c r="E43" s="32"/>
      <c r="F43" s="32"/>
      <c r="G43" s="32"/>
      <c r="H43" s="32"/>
    </row>
    <row r="44" spans="1:8" ht="12.9" customHeight="1">
      <c r="A44" s="78" t="s">
        <v>248</v>
      </c>
      <c r="B44" s="48"/>
      <c r="C44" s="48"/>
      <c r="D44" s="48"/>
      <c r="E44" s="48"/>
      <c r="F44" s="48"/>
      <c r="G44" s="48"/>
      <c r="H44" s="49"/>
    </row>
    <row r="45" spans="1:8" ht="4.2" customHeight="1">
      <c r="A45" s="50"/>
      <c r="H45" s="51"/>
    </row>
    <row r="46" spans="1:8" ht="12" customHeight="1">
      <c r="A46" s="52" t="s">
        <v>42</v>
      </c>
      <c r="B46" s="45" t="e">
        <f>'   VT   '!H38</f>
        <v>#DIV/0!</v>
      </c>
      <c r="C46" s="32"/>
      <c r="D46" s="782" t="s">
        <v>54</v>
      </c>
      <c r="E46" s="782"/>
      <c r="F46" s="45" t="e">
        <f>'   VT   '!R38</f>
        <v>#DIV/0!</v>
      </c>
      <c r="G46" s="32" t="s">
        <v>249</v>
      </c>
      <c r="H46" s="51"/>
    </row>
    <row r="47" spans="1:8" ht="12" customHeight="1">
      <c r="A47" s="52" t="s">
        <v>44</v>
      </c>
      <c r="B47" s="45" t="e">
        <f>'   VT   '!I38</f>
        <v>#DIV/0!</v>
      </c>
      <c r="C47" s="32" t="s">
        <v>249</v>
      </c>
      <c r="D47" s="782" t="s">
        <v>193</v>
      </c>
      <c r="E47" s="782"/>
      <c r="F47" s="45" t="e">
        <f>'   VT   '!S38</f>
        <v>#DIV/0!</v>
      </c>
      <c r="G47" s="32" t="s">
        <v>249</v>
      </c>
      <c r="H47" s="51"/>
    </row>
    <row r="48" spans="1:8" ht="12" customHeight="1">
      <c r="A48" s="52" t="s">
        <v>45</v>
      </c>
      <c r="B48" s="45" t="e">
        <f>'   VT   '!J38</f>
        <v>#DIV/0!</v>
      </c>
      <c r="C48" s="32" t="s">
        <v>249</v>
      </c>
      <c r="D48" s="782" t="s">
        <v>56</v>
      </c>
      <c r="E48" s="782"/>
      <c r="F48" s="45" t="e">
        <f>'   VT   '!T38</f>
        <v>#DIV/0!</v>
      </c>
      <c r="G48" s="32" t="s">
        <v>249</v>
      </c>
      <c r="H48" s="51"/>
    </row>
    <row r="49" spans="1:8" ht="12" customHeight="1">
      <c r="A49" s="52" t="s">
        <v>46</v>
      </c>
      <c r="B49" s="46" t="e">
        <f>'   VT   '!K38</f>
        <v>#DIV/0!</v>
      </c>
      <c r="C49" s="32"/>
      <c r="D49" s="782" t="s">
        <v>57</v>
      </c>
      <c r="E49" s="782"/>
      <c r="F49" s="45" t="e">
        <f>'   VT   '!U38</f>
        <v>#DIV/0!</v>
      </c>
      <c r="G49" s="32" t="s">
        <v>249</v>
      </c>
      <c r="H49" s="51"/>
    </row>
    <row r="50" spans="1:8" ht="12" customHeight="1">
      <c r="A50" s="52" t="s">
        <v>48</v>
      </c>
      <c r="B50" s="45" t="e">
        <f>'   VT   '!L38</f>
        <v>#DIV/0!</v>
      </c>
      <c r="C50" s="32" t="s">
        <v>249</v>
      </c>
      <c r="D50" s="782" t="s">
        <v>51</v>
      </c>
      <c r="E50" s="782"/>
      <c r="F50" s="47" t="e">
        <f>'   VT   '!O38</f>
        <v>#DIV/0!</v>
      </c>
      <c r="G50" s="32" t="s">
        <v>249</v>
      </c>
      <c r="H50" s="51"/>
    </row>
    <row r="51" spans="1:8" ht="12" customHeight="1">
      <c r="A51" s="52" t="s">
        <v>49</v>
      </c>
      <c r="B51" s="45" t="e">
        <f>'   VT   '!M38</f>
        <v>#DIV/0!</v>
      </c>
      <c r="C51" s="32" t="s">
        <v>249</v>
      </c>
      <c r="D51" s="782" t="s">
        <v>52</v>
      </c>
      <c r="E51" s="782"/>
      <c r="F51" s="47" t="e">
        <f>'   VT   '!P38</f>
        <v>#DIV/0!</v>
      </c>
      <c r="G51" s="32" t="s">
        <v>249</v>
      </c>
      <c r="H51" s="51"/>
    </row>
    <row r="52" spans="1:8" ht="12" customHeight="1">
      <c r="A52" s="52" t="s">
        <v>250</v>
      </c>
      <c r="B52" s="45" t="e">
        <f>'   VT   '!N38</f>
        <v>#DIV/0!</v>
      </c>
      <c r="C52" s="32" t="s">
        <v>249</v>
      </c>
      <c r="D52" s="782" t="s">
        <v>251</v>
      </c>
      <c r="E52" s="782"/>
      <c r="F52" s="45" t="e">
        <f>'   VT   '!V38</f>
        <v>#DIV/0!</v>
      </c>
      <c r="G52" s="32" t="s">
        <v>249</v>
      </c>
      <c r="H52" s="51"/>
    </row>
    <row r="53" spans="1:8" ht="12" customHeight="1">
      <c r="A53" s="53" t="s">
        <v>192</v>
      </c>
      <c r="B53" s="54" t="e">
        <f>'   VT   '!Q38</f>
        <v>#DIV/0!</v>
      </c>
      <c r="C53" s="31" t="s">
        <v>249</v>
      </c>
      <c r="D53" s="788" t="s">
        <v>60</v>
      </c>
      <c r="E53" s="788"/>
      <c r="F53" s="84" t="e">
        <f>'   VT   '!W38</f>
        <v>#DIV/0!</v>
      </c>
      <c r="G53" s="31" t="s">
        <v>264</v>
      </c>
      <c r="H53" s="55"/>
    </row>
    <row r="54" spans="1:8" ht="7.5" customHeight="1"/>
    <row r="55" spans="1:8" ht="15" customHeight="1">
      <c r="A55" s="79" t="s">
        <v>252</v>
      </c>
      <c r="B55" s="64"/>
      <c r="C55" s="64"/>
      <c r="D55" s="64"/>
      <c r="E55" s="64"/>
      <c r="F55" s="64"/>
      <c r="G55" s="64"/>
      <c r="H55" s="65"/>
    </row>
    <row r="56" spans="1:8" ht="12.9" customHeight="1">
      <c r="A56" s="50"/>
      <c r="H56" s="66"/>
    </row>
    <row r="57" spans="1:8" ht="12" customHeight="1">
      <c r="A57" s="50"/>
      <c r="H57" s="66"/>
    </row>
    <row r="58" spans="1:8" ht="12" customHeight="1">
      <c r="A58" s="50"/>
      <c r="H58" s="66"/>
    </row>
    <row r="59" spans="1:8" ht="15" customHeight="1">
      <c r="A59" s="67"/>
      <c r="B59" s="41"/>
      <c r="C59" s="41"/>
      <c r="D59" s="41"/>
      <c r="E59" s="41"/>
      <c r="F59" s="41"/>
      <c r="G59" s="41"/>
      <c r="H59" s="55"/>
    </row>
  </sheetData>
  <sheetProtection algorithmName="SHA-512" hashValue="QCVmq8Oo7Kn0c5GVZIjQeL+YskEJv2vzi/yM5iQVIjFAiAxEX9oTaswl1ibWU53sr836X8jGZZexSP639eVGNQ==" saltValue="j9ZtuMOgvpr5ve3Fc1jWWw==" spinCount="100000" sheet="1" objects="1" scenarios="1" selectLockedCells="1" selectUnlockedCells="1"/>
  <mergeCells count="10">
    <mergeCell ref="D50:E50"/>
    <mergeCell ref="D51:E51"/>
    <mergeCell ref="D52:E52"/>
    <mergeCell ref="D53:E53"/>
    <mergeCell ref="G2:H2"/>
    <mergeCell ref="A8:H8"/>
    <mergeCell ref="D46:E46"/>
    <mergeCell ref="D47:E47"/>
    <mergeCell ref="D48:E48"/>
    <mergeCell ref="D49:E49"/>
  </mergeCells>
  <pageMargins left="0.23622047244094491" right="0.23622047244094491" top="0.35433070866141736" bottom="0.35433070866141736" header="0.31496062992125984" footer="0.31496062992125984"/>
  <pageSetup paperSize="9"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1B75A-5130-4D44-8158-ED0E3CA88DCB}">
  <sheetPr codeName="Feuil7">
    <tabColor rgb="FFCCE9AD"/>
  </sheetPr>
  <dimension ref="A1:BN95"/>
  <sheetViews>
    <sheetView showGridLines="0" zoomScaleNormal="100" workbookViewId="0">
      <selection activeCell="E16" sqref="E16"/>
    </sheetView>
  </sheetViews>
  <sheetFormatPr baseColWidth="10" defaultColWidth="11.44140625" defaultRowHeight="13.8"/>
  <cols>
    <col min="1" max="1" width="4.6640625" style="109" customWidth="1"/>
    <col min="2" max="2" width="28.44140625" style="109" customWidth="1"/>
    <col min="3" max="3" width="5.6640625" style="109" customWidth="1"/>
    <col min="4" max="5" width="8.6640625" style="109" customWidth="1"/>
    <col min="6" max="6" width="10.109375" style="109" customWidth="1"/>
    <col min="7" max="18" width="8.6640625" style="109" customWidth="1"/>
    <col min="19" max="19" width="11.109375" style="109" customWidth="1"/>
    <col min="20" max="23" width="8.6640625" style="109" customWidth="1"/>
    <col min="24" max="28" width="11.44140625" style="109"/>
    <col min="29" max="30" width="11.44140625" style="411"/>
    <col min="31" max="62" width="4.6640625" style="411" customWidth="1"/>
    <col min="63" max="66" width="4.6640625" style="295" customWidth="1"/>
    <col min="67" max="16384" width="11.44140625" style="109"/>
  </cols>
  <sheetData>
    <row r="1" spans="1:66" ht="25.5" customHeight="1">
      <c r="A1" s="775" t="s">
        <v>254</v>
      </c>
      <c r="B1" s="775"/>
      <c r="C1" s="775"/>
      <c r="D1" s="775"/>
      <c r="E1" s="775"/>
      <c r="F1" s="775"/>
      <c r="G1" s="775"/>
      <c r="H1" s="775"/>
      <c r="I1" s="775"/>
      <c r="J1" s="775"/>
      <c r="K1" s="775"/>
      <c r="L1" s="775"/>
      <c r="M1" s="775"/>
      <c r="N1" s="775"/>
      <c r="O1" s="775"/>
      <c r="P1" s="775"/>
      <c r="Q1" s="775"/>
      <c r="R1" s="775"/>
      <c r="S1" s="775"/>
      <c r="T1" s="775"/>
      <c r="U1" s="775"/>
      <c r="V1" s="775"/>
      <c r="W1" s="775"/>
      <c r="AC1" s="412"/>
      <c r="AX1" s="411" t="s">
        <v>265</v>
      </c>
    </row>
    <row r="2" spans="1:66" ht="15" thickBot="1">
      <c r="AC2" s="414">
        <f>MATCH(D10,AD3:AD5)</f>
        <v>1</v>
      </c>
      <c r="AD2" s="411" t="s">
        <v>266</v>
      </c>
      <c r="AE2" s="412">
        <v>1</v>
      </c>
      <c r="AF2" s="412">
        <v>2</v>
      </c>
      <c r="AG2" s="412">
        <v>3</v>
      </c>
      <c r="AH2" s="412">
        <v>4</v>
      </c>
      <c r="AI2" s="412">
        <v>5</v>
      </c>
      <c r="AJ2" s="412">
        <v>6</v>
      </c>
      <c r="AK2" s="412">
        <v>7</v>
      </c>
      <c r="AL2" s="412">
        <v>8</v>
      </c>
      <c r="AM2" s="412">
        <v>9</v>
      </c>
      <c r="AN2" s="412">
        <v>10</v>
      </c>
      <c r="AO2" s="412">
        <v>11</v>
      </c>
      <c r="AP2" s="412">
        <v>12</v>
      </c>
      <c r="AQ2" s="412">
        <v>13</v>
      </c>
      <c r="AR2" s="412">
        <v>14</v>
      </c>
      <c r="AS2" s="412">
        <v>15</v>
      </c>
      <c r="AT2" s="412">
        <v>16</v>
      </c>
      <c r="AU2" s="412">
        <v>17</v>
      </c>
      <c r="AV2" s="412">
        <v>18</v>
      </c>
      <c r="AW2" s="412">
        <v>19</v>
      </c>
      <c r="AX2" s="412">
        <v>20</v>
      </c>
      <c r="AY2" s="412">
        <v>21</v>
      </c>
      <c r="AZ2" s="412">
        <v>22</v>
      </c>
      <c r="BA2" s="412">
        <v>23</v>
      </c>
      <c r="BB2" s="412">
        <v>24</v>
      </c>
      <c r="BC2" s="412">
        <v>25</v>
      </c>
      <c r="BD2" s="412">
        <v>26</v>
      </c>
      <c r="BE2" s="412">
        <v>27</v>
      </c>
      <c r="BF2" s="412">
        <v>28</v>
      </c>
      <c r="BG2" s="412">
        <v>29</v>
      </c>
      <c r="BH2" s="412">
        <v>30</v>
      </c>
      <c r="BI2" s="412">
        <v>31</v>
      </c>
      <c r="BJ2" s="412">
        <v>32</v>
      </c>
      <c r="BK2" s="409">
        <v>33</v>
      </c>
      <c r="BL2" s="409">
        <v>34</v>
      </c>
      <c r="BM2" s="409">
        <v>35</v>
      </c>
      <c r="BN2" s="409">
        <v>36</v>
      </c>
    </row>
    <row r="3" spans="1:66" ht="16.2" thickBot="1">
      <c r="B3" s="90" t="s">
        <v>158</v>
      </c>
      <c r="C3" s="777"/>
      <c r="D3" s="777"/>
      <c r="E3" s="777"/>
      <c r="F3" s="778"/>
      <c r="S3" s="111"/>
      <c r="T3" s="112" t="s">
        <v>260</v>
      </c>
      <c r="U3" s="111"/>
      <c r="V3" s="111"/>
      <c r="AC3" s="414">
        <f>MATCH(D9,AE2:BN2)</f>
        <v>9</v>
      </c>
      <c r="AD3" s="412">
        <v>24</v>
      </c>
      <c r="AE3" s="412">
        <v>900</v>
      </c>
      <c r="AF3" s="412">
        <v>900</v>
      </c>
      <c r="AG3" s="412">
        <v>900</v>
      </c>
      <c r="AH3" s="412">
        <v>900</v>
      </c>
      <c r="AI3" s="412">
        <v>900</v>
      </c>
      <c r="AJ3" s="412">
        <v>750</v>
      </c>
      <c r="AK3" s="412">
        <v>750</v>
      </c>
      <c r="AL3" s="412">
        <v>750</v>
      </c>
      <c r="AM3" s="412">
        <v>750</v>
      </c>
      <c r="AN3" s="412">
        <v>750</v>
      </c>
      <c r="AO3" s="412">
        <v>750</v>
      </c>
      <c r="AP3" s="412">
        <v>750</v>
      </c>
      <c r="AQ3" s="412">
        <v>750</v>
      </c>
      <c r="AR3" s="412">
        <v>750</v>
      </c>
      <c r="AS3" s="412">
        <v>780</v>
      </c>
      <c r="AT3" s="412">
        <v>780</v>
      </c>
      <c r="AU3" s="412">
        <v>780</v>
      </c>
      <c r="AV3" s="412">
        <v>780</v>
      </c>
      <c r="AW3" s="412">
        <v>780</v>
      </c>
      <c r="AX3" s="412">
        <v>780</v>
      </c>
      <c r="AY3" s="412">
        <v>780</v>
      </c>
      <c r="AZ3" s="412">
        <v>780</v>
      </c>
      <c r="BA3" s="412">
        <v>780</v>
      </c>
      <c r="BB3" s="412">
        <v>780</v>
      </c>
      <c r="BC3" s="412"/>
      <c r="BD3" s="412"/>
      <c r="BE3" s="412"/>
      <c r="BF3" s="412"/>
      <c r="BG3" s="412"/>
      <c r="BH3" s="412"/>
      <c r="BI3" s="412"/>
      <c r="BJ3" s="412"/>
      <c r="BK3" s="409"/>
      <c r="BL3" s="409"/>
      <c r="BM3" s="409"/>
      <c r="BN3" s="409"/>
    </row>
    <row r="4" spans="1:66" ht="16.8" thickTop="1" thickBot="1">
      <c r="B4" s="92" t="s">
        <v>161</v>
      </c>
      <c r="C4" s="779"/>
      <c r="D4" s="779"/>
      <c r="E4" s="779"/>
      <c r="F4" s="779"/>
      <c r="N4" s="1"/>
      <c r="O4" s="349" t="s">
        <v>159</v>
      </c>
      <c r="P4" s="402">
        <f>D71</f>
        <v>0</v>
      </c>
      <c r="AC4" s="412"/>
      <c r="AD4" s="412">
        <v>30</v>
      </c>
      <c r="AE4" s="412">
        <v>900</v>
      </c>
      <c r="AF4" s="412">
        <v>900</v>
      </c>
      <c r="AG4" s="412">
        <v>900</v>
      </c>
      <c r="AH4" s="412">
        <v>900</v>
      </c>
      <c r="AI4" s="412">
        <v>900</v>
      </c>
      <c r="AJ4" s="412">
        <v>600</v>
      </c>
      <c r="AK4" s="412">
        <v>600</v>
      </c>
      <c r="AL4" s="412">
        <v>600</v>
      </c>
      <c r="AM4" s="412">
        <v>600</v>
      </c>
      <c r="AN4" s="412">
        <v>600</v>
      </c>
      <c r="AO4" s="412">
        <v>600</v>
      </c>
      <c r="AP4" s="412">
        <v>600</v>
      </c>
      <c r="AQ4" s="412">
        <v>600</v>
      </c>
      <c r="AR4" s="412">
        <v>600</v>
      </c>
      <c r="AS4" s="412">
        <v>600</v>
      </c>
      <c r="AT4" s="412">
        <v>600</v>
      </c>
      <c r="AU4" s="412">
        <v>600</v>
      </c>
      <c r="AV4" s="412">
        <v>600</v>
      </c>
      <c r="AW4" s="412">
        <v>600</v>
      </c>
      <c r="AX4" s="412">
        <v>600</v>
      </c>
      <c r="AY4" s="412">
        <v>600</v>
      </c>
      <c r="AZ4" s="412">
        <v>600</v>
      </c>
      <c r="BA4" s="412">
        <v>600</v>
      </c>
      <c r="BB4" s="412">
        <v>600</v>
      </c>
      <c r="BC4" s="412">
        <v>600</v>
      </c>
      <c r="BD4" s="412">
        <v>600</v>
      </c>
      <c r="BE4" s="412">
        <v>750</v>
      </c>
      <c r="BF4" s="412">
        <v>750</v>
      </c>
      <c r="BG4" s="412">
        <v>750</v>
      </c>
      <c r="BH4" s="412">
        <v>750</v>
      </c>
      <c r="BI4" s="412"/>
      <c r="BJ4" s="412"/>
      <c r="BK4" s="409"/>
      <c r="BL4" s="409"/>
      <c r="BM4" s="409"/>
      <c r="BN4" s="409"/>
    </row>
    <row r="5" spans="1:66" ht="16.8" thickTop="1" thickBot="1">
      <c r="B5" s="91" t="s">
        <v>163</v>
      </c>
      <c r="C5" s="780"/>
      <c r="D5" s="780"/>
      <c r="E5" s="780"/>
      <c r="F5" s="781"/>
      <c r="AD5" s="412">
        <v>36</v>
      </c>
      <c r="AE5" s="412">
        <v>900</v>
      </c>
      <c r="AF5" s="412">
        <v>900</v>
      </c>
      <c r="AG5" s="412">
        <v>900</v>
      </c>
      <c r="AH5" s="412">
        <v>900</v>
      </c>
      <c r="AI5" s="412">
        <v>900</v>
      </c>
      <c r="AJ5" s="412">
        <v>550</v>
      </c>
      <c r="AK5" s="412">
        <v>550</v>
      </c>
      <c r="AL5" s="412">
        <v>550</v>
      </c>
      <c r="AM5" s="412">
        <v>550</v>
      </c>
      <c r="AN5" s="412">
        <v>550</v>
      </c>
      <c r="AO5" s="412">
        <v>550</v>
      </c>
      <c r="AP5" s="412">
        <v>550</v>
      </c>
      <c r="AQ5" s="412">
        <v>550</v>
      </c>
      <c r="AR5" s="412">
        <v>550</v>
      </c>
      <c r="AS5" s="412">
        <v>550</v>
      </c>
      <c r="AT5" s="412">
        <v>550</v>
      </c>
      <c r="AU5" s="412">
        <v>550</v>
      </c>
      <c r="AV5" s="412">
        <v>550</v>
      </c>
      <c r="AW5" s="412">
        <v>550</v>
      </c>
      <c r="AX5" s="412">
        <v>550</v>
      </c>
      <c r="AY5" s="412">
        <v>550</v>
      </c>
      <c r="AZ5" s="412">
        <v>550</v>
      </c>
      <c r="BA5" s="412">
        <v>550</v>
      </c>
      <c r="BB5" s="412">
        <v>550</v>
      </c>
      <c r="BC5" s="412">
        <v>550</v>
      </c>
      <c r="BD5" s="412">
        <v>440</v>
      </c>
      <c r="BE5" s="412">
        <v>440</v>
      </c>
      <c r="BF5" s="412">
        <v>440</v>
      </c>
      <c r="BG5" s="412">
        <v>440</v>
      </c>
      <c r="BH5" s="412">
        <v>440</v>
      </c>
      <c r="BI5" s="412">
        <v>660</v>
      </c>
      <c r="BJ5" s="412">
        <v>660</v>
      </c>
      <c r="BK5" s="409">
        <v>660</v>
      </c>
      <c r="BL5" s="409">
        <v>660</v>
      </c>
      <c r="BM5" s="409">
        <v>660</v>
      </c>
      <c r="BN5" s="409">
        <v>660</v>
      </c>
    </row>
    <row r="6" spans="1:66" ht="9.75" customHeight="1"/>
    <row r="7" spans="1:66" ht="15.6">
      <c r="B7" s="11" t="s">
        <v>267</v>
      </c>
      <c r="C7" s="1"/>
    </row>
    <row r="8" spans="1:66" ht="6" customHeight="1" thickBot="1">
      <c r="B8" s="1"/>
      <c r="C8" s="1"/>
    </row>
    <row r="9" spans="1:66">
      <c r="B9" s="264" t="s">
        <v>268</v>
      </c>
      <c r="C9" s="389"/>
      <c r="D9" s="296">
        <v>9</v>
      </c>
      <c r="AC9" s="415">
        <f>MATCH(D13,AE9:AK9)</f>
        <v>5</v>
      </c>
      <c r="AD9" s="411" t="s">
        <v>46</v>
      </c>
      <c r="AE9" s="411">
        <v>440</v>
      </c>
      <c r="AF9" s="411">
        <v>550</v>
      </c>
      <c r="AG9" s="411">
        <v>600</v>
      </c>
      <c r="AH9" s="411">
        <v>660</v>
      </c>
      <c r="AI9" s="411">
        <v>750</v>
      </c>
      <c r="AJ9" s="411">
        <v>780</v>
      </c>
      <c r="AK9" s="411">
        <v>900</v>
      </c>
      <c r="AN9" s="411" t="s">
        <v>217</v>
      </c>
      <c r="AO9" s="411">
        <v>440</v>
      </c>
      <c r="AP9" s="411">
        <v>550</v>
      </c>
      <c r="AQ9" s="411">
        <v>600</v>
      </c>
      <c r="AR9" s="411">
        <v>660</v>
      </c>
      <c r="AS9" s="411">
        <v>750</v>
      </c>
      <c r="AT9" s="411">
        <v>780</v>
      </c>
      <c r="AU9" s="411">
        <v>900</v>
      </c>
    </row>
    <row r="10" spans="1:66">
      <c r="B10" s="265" t="s">
        <v>269</v>
      </c>
      <c r="C10" s="390"/>
      <c r="D10" s="124">
        <v>24</v>
      </c>
      <c r="F10" s="176"/>
      <c r="G10" s="116"/>
      <c r="H10" s="378"/>
      <c r="I10" s="379"/>
      <c r="J10" s="380"/>
      <c r="K10" s="380"/>
      <c r="L10" s="380"/>
      <c r="M10" s="380"/>
      <c r="N10" s="378"/>
      <c r="O10" s="379"/>
      <c r="P10" s="379"/>
      <c r="AC10" s="415">
        <f>MATCH(D12,AD10:AD65)</f>
        <v>23</v>
      </c>
      <c r="AD10" s="411">
        <v>50</v>
      </c>
      <c r="AE10" s="416">
        <v>1.1714000000000002</v>
      </c>
      <c r="AF10" s="416">
        <v>1.3310999999999999</v>
      </c>
      <c r="AG10" s="416">
        <v>1.4041999999999999</v>
      </c>
      <c r="AH10" s="416">
        <v>1.4901</v>
      </c>
      <c r="AI10" s="416">
        <v>1.6222000000000001</v>
      </c>
      <c r="AJ10" s="416">
        <v>1.6665999999999999</v>
      </c>
      <c r="AK10" s="416">
        <v>1.8444</v>
      </c>
      <c r="AN10" s="411">
        <v>50</v>
      </c>
      <c r="AO10" s="411">
        <v>155.78100000000001</v>
      </c>
      <c r="AP10" s="411">
        <v>181.72</v>
      </c>
      <c r="AQ10" s="411">
        <v>190.66</v>
      </c>
      <c r="AR10" s="411">
        <v>202.69</v>
      </c>
      <c r="AS10" s="411">
        <v>226.005</v>
      </c>
      <c r="AT10" s="411">
        <v>220.18</v>
      </c>
      <c r="AU10" s="411">
        <v>251.845</v>
      </c>
    </row>
    <row r="11" spans="1:66">
      <c r="B11" s="265" t="s">
        <v>270</v>
      </c>
      <c r="C11" s="390"/>
      <c r="D11" s="124">
        <v>680</v>
      </c>
      <c r="F11" s="18" t="s">
        <v>168</v>
      </c>
      <c r="G11" s="18"/>
      <c r="H11" s="392" t="s">
        <v>169</v>
      </c>
      <c r="I11" s="393" t="s">
        <v>42</v>
      </c>
      <c r="J11" s="393" t="s">
        <v>170</v>
      </c>
      <c r="K11" s="393" t="s">
        <v>171</v>
      </c>
      <c r="L11" s="393" t="s">
        <v>172</v>
      </c>
      <c r="M11" s="393" t="s">
        <v>173</v>
      </c>
      <c r="N11" s="393" t="s">
        <v>46</v>
      </c>
      <c r="O11" s="393" t="s">
        <v>48</v>
      </c>
      <c r="P11" s="394" t="s">
        <v>49</v>
      </c>
      <c r="AD11" s="411">
        <v>60</v>
      </c>
      <c r="AE11" s="416">
        <v>1.2979000000000001</v>
      </c>
      <c r="AF11" s="416">
        <v>1.4597</v>
      </c>
      <c r="AG11" s="416">
        <v>1.5338000000000001</v>
      </c>
      <c r="AH11" s="416">
        <v>1.6206999999999998</v>
      </c>
      <c r="AI11" s="416">
        <v>1.7559</v>
      </c>
      <c r="AJ11" s="416">
        <v>1.8012999999999999</v>
      </c>
      <c r="AK11" s="416">
        <v>1.9842</v>
      </c>
      <c r="AN11" s="411">
        <v>60</v>
      </c>
      <c r="AO11" s="411">
        <v>166.61199999999999</v>
      </c>
      <c r="AP11" s="411">
        <v>192.226</v>
      </c>
      <c r="AQ11" s="411">
        <v>201.25</v>
      </c>
      <c r="AR11" s="411">
        <v>213.702</v>
      </c>
      <c r="AS11" s="411">
        <v>237.46199999999999</v>
      </c>
      <c r="AT11" s="411">
        <v>231.52600000000001</v>
      </c>
      <c r="AU11" s="411">
        <v>263.26400000000001</v>
      </c>
    </row>
    <row r="12" spans="1:66">
      <c r="B12" s="265" t="s">
        <v>271</v>
      </c>
      <c r="C12" s="73"/>
      <c r="D12" s="381" cm="1">
        <f t="array" ref="D12">ROUND(_xlfn.IFS(D9&lt;=6,45+(0.9*30*D9),D10=24,0.0309*D9^2+22.685*D9+67.77,D10=30,0.0145*D9^2+17.87*D9+98.328,D10=36,0.0423*D9^2+14.414*D9+116.92),-1)</f>
        <v>270</v>
      </c>
      <c r="F12" s="337" t="s">
        <v>181</v>
      </c>
      <c r="G12" s="395"/>
      <c r="H12" s="396">
        <f>((138.6-(0.0177*(D9^2))-(0.59*80))/1000)*(D12^0.75)</f>
        <v>5.9924260452414861</v>
      </c>
      <c r="I12" s="397">
        <f>(1.34*D12/100+(2.9*(D13/1000))-1)*1000</f>
        <v>4793</v>
      </c>
      <c r="J12" s="397">
        <f>54*D12/100+247*(D13/1000)-27.5</f>
        <v>303.55</v>
      </c>
      <c r="K12" s="393">
        <v>0</v>
      </c>
      <c r="L12" s="397">
        <f>3*(D12/100)+(D13/1000)*(40-10*(D12/D11))</f>
        <v>35.122058823529414</v>
      </c>
      <c r="M12" s="397">
        <f>(D12/100)+(D13/1000)*(15+7*(D12/D11))</f>
        <v>16.034558823529412</v>
      </c>
      <c r="N12" s="398" cm="1">
        <f t="array" ref="N12">INDEX(AE10:AK65,AC10,AC9)</f>
        <v>4.4249999999999998</v>
      </c>
      <c r="O12" s="397" cm="1">
        <f t="array" ref="O12">INDEX(AO10:AU65,AC10,AC9)</f>
        <v>413.75</v>
      </c>
      <c r="P12" s="399" cm="1">
        <f t="array" ref="P12">INDEX(AO10:AU65,AC10,AC9)</f>
        <v>413.75</v>
      </c>
      <c r="AD12" s="411">
        <v>70</v>
      </c>
      <c r="AE12" s="416">
        <v>1.4234</v>
      </c>
      <c r="AF12" s="416">
        <v>1.5874999999999999</v>
      </c>
      <c r="AG12" s="416">
        <v>1.6626000000000001</v>
      </c>
      <c r="AH12" s="416">
        <v>1.7504999999999999</v>
      </c>
      <c r="AI12" s="416">
        <v>1.889</v>
      </c>
      <c r="AJ12" s="416">
        <v>1.9354</v>
      </c>
      <c r="AK12" s="416">
        <v>2.1236000000000002</v>
      </c>
      <c r="AN12" s="411">
        <v>70</v>
      </c>
      <c r="AO12" s="411">
        <v>177.15499999999997</v>
      </c>
      <c r="AP12" s="411">
        <v>202.50399999999999</v>
      </c>
      <c r="AQ12" s="411">
        <v>211.57599999999999</v>
      </c>
      <c r="AR12" s="411">
        <v>224.46600000000001</v>
      </c>
      <c r="AS12" s="411">
        <v>248.59099999999998</v>
      </c>
      <c r="AT12" s="411">
        <v>242.56399999999999</v>
      </c>
      <c r="AU12" s="411">
        <v>274.33100000000002</v>
      </c>
    </row>
    <row r="13" spans="1:66" ht="14.4" thickBot="1">
      <c r="B13" s="266" t="s">
        <v>272</v>
      </c>
      <c r="C13" s="391"/>
      <c r="D13" s="382" cm="1">
        <f t="array" ref="D13">INDEX(AE3:BN5,AC2,AC3)</f>
        <v>750</v>
      </c>
      <c r="F13" s="330" t="s">
        <v>184</v>
      </c>
      <c r="G13" s="343"/>
      <c r="H13" s="400">
        <v>1</v>
      </c>
      <c r="I13" s="345">
        <f>I12/$H$12</f>
        <v>799.8429957773219</v>
      </c>
      <c r="J13" s="345">
        <f>J12/$H$12</f>
        <v>50.655610550428975</v>
      </c>
      <c r="K13" s="345">
        <f t="shared" ref="K13:M13" si="0">K12/$H$12</f>
        <v>0</v>
      </c>
      <c r="L13" s="346">
        <f t="shared" si="0"/>
        <v>5.8610750568076551</v>
      </c>
      <c r="M13" s="346">
        <f t="shared" si="0"/>
        <v>2.6758042072563022</v>
      </c>
      <c r="N13" s="347">
        <f>N12/$H$12</f>
        <v>0.73843214193921336</v>
      </c>
      <c r="O13" s="345">
        <f>O12/$H$12</f>
        <v>69.045491237819107</v>
      </c>
      <c r="P13" s="401">
        <f>P12/$H$12</f>
        <v>69.045491237819107</v>
      </c>
      <c r="AD13" s="411">
        <v>80</v>
      </c>
      <c r="AE13" s="416">
        <v>1.5479000000000001</v>
      </c>
      <c r="AF13" s="416">
        <v>1.7145000000000001</v>
      </c>
      <c r="AG13" s="416">
        <v>1.7906</v>
      </c>
      <c r="AH13" s="416">
        <v>1.8794999999999999</v>
      </c>
      <c r="AI13" s="416">
        <v>2.0215000000000001</v>
      </c>
      <c r="AJ13" s="416">
        <v>2.0689000000000002</v>
      </c>
      <c r="AK13" s="416">
        <v>2.2625999999999999</v>
      </c>
      <c r="AN13" s="411">
        <v>80</v>
      </c>
      <c r="AO13" s="411">
        <v>187.12799999999999</v>
      </c>
      <c r="AP13" s="411">
        <v>212.45</v>
      </c>
      <c r="AQ13" s="411">
        <v>222</v>
      </c>
      <c r="AR13" s="411">
        <v>234.89999999999998</v>
      </c>
      <c r="AS13" s="411">
        <v>254.25</v>
      </c>
      <c r="AT13" s="411">
        <v>260.7</v>
      </c>
      <c r="AU13" s="411">
        <v>285.5</v>
      </c>
    </row>
    <row r="14" spans="1:66" ht="14.4">
      <c r="B14" s="383" t="s">
        <v>273</v>
      </c>
      <c r="D14" s="161"/>
      <c r="W14" s="125"/>
      <c r="AD14" s="411">
        <v>90</v>
      </c>
      <c r="AE14" s="416">
        <v>1.6714</v>
      </c>
      <c r="AF14" s="416">
        <v>1.8407</v>
      </c>
      <c r="AG14" s="416">
        <v>1.9177999999999999</v>
      </c>
      <c r="AH14" s="416">
        <v>2.0076999999999998</v>
      </c>
      <c r="AI14" s="416">
        <v>2.1534</v>
      </c>
      <c r="AJ14" s="416">
        <v>2.2018</v>
      </c>
      <c r="AK14" s="416">
        <v>2.4012000000000002</v>
      </c>
      <c r="AN14" s="411">
        <v>90</v>
      </c>
      <c r="AO14" s="411">
        <v>197.12799999999999</v>
      </c>
      <c r="AP14" s="411">
        <v>222.45</v>
      </c>
      <c r="AQ14" s="411">
        <v>232</v>
      </c>
      <c r="AR14" s="411">
        <v>244.89999999999998</v>
      </c>
      <c r="AS14" s="411">
        <v>264.25</v>
      </c>
      <c r="AT14" s="411">
        <v>270.7</v>
      </c>
      <c r="AU14" s="411">
        <v>295.5</v>
      </c>
    </row>
    <row r="15" spans="1:66" ht="14.4">
      <c r="W15" s="125"/>
      <c r="AD15" s="411">
        <v>100</v>
      </c>
      <c r="AE15" s="416">
        <v>1.7939000000000001</v>
      </c>
      <c r="AF15" s="416">
        <v>1.9661</v>
      </c>
      <c r="AG15" s="416">
        <v>2.0442</v>
      </c>
      <c r="AH15" s="416">
        <v>2.1351</v>
      </c>
      <c r="AI15" s="416">
        <v>2.2847</v>
      </c>
      <c r="AJ15" s="416">
        <v>2.3340999999999998</v>
      </c>
      <c r="AK15" s="416">
        <v>2.5394000000000001</v>
      </c>
      <c r="AN15" s="411">
        <v>100</v>
      </c>
      <c r="AO15" s="411">
        <v>207.12799999999999</v>
      </c>
      <c r="AP15" s="411">
        <v>232.45</v>
      </c>
      <c r="AQ15" s="411">
        <v>242</v>
      </c>
      <c r="AR15" s="411">
        <v>254.89999999999998</v>
      </c>
      <c r="AS15" s="411">
        <v>274.25</v>
      </c>
      <c r="AT15" s="411">
        <v>280.7</v>
      </c>
      <c r="AU15" s="411">
        <v>305.5</v>
      </c>
    </row>
    <row r="16" spans="1:66" ht="15.6">
      <c r="B16" s="11" t="s">
        <v>186</v>
      </c>
      <c r="C16" s="1"/>
      <c r="D16" s="1"/>
      <c r="E16" s="1"/>
      <c r="F16" s="1"/>
      <c r="G16" s="1"/>
      <c r="H16" s="1"/>
      <c r="I16" s="1"/>
      <c r="J16" s="1"/>
      <c r="K16" s="1"/>
      <c r="L16" s="1"/>
      <c r="M16" s="1"/>
      <c r="N16" s="1"/>
      <c r="O16" s="1"/>
      <c r="P16" s="1"/>
      <c r="Q16" s="1"/>
      <c r="R16" s="1"/>
      <c r="S16" s="1"/>
      <c r="T16" s="1"/>
      <c r="U16" s="1"/>
      <c r="V16" s="1"/>
      <c r="W16" s="1"/>
      <c r="AD16" s="411">
        <v>110</v>
      </c>
      <c r="AE16" s="416">
        <v>1.9154</v>
      </c>
      <c r="AF16" s="416">
        <v>2.0907</v>
      </c>
      <c r="AG16" s="416">
        <v>2.1698</v>
      </c>
      <c r="AH16" s="416">
        <v>2.2616999999999998</v>
      </c>
      <c r="AI16" s="416">
        <v>2.4154</v>
      </c>
      <c r="AJ16" s="416">
        <v>2.4657999999999998</v>
      </c>
      <c r="AK16" s="416">
        <v>2.6772</v>
      </c>
      <c r="AN16" s="411">
        <v>110</v>
      </c>
      <c r="AO16" s="411">
        <v>216.02239999999767</v>
      </c>
      <c r="AP16" s="411">
        <v>241.00999999999638</v>
      </c>
      <c r="AQ16" s="411">
        <v>250.8</v>
      </c>
      <c r="AR16" s="411">
        <v>263.7</v>
      </c>
      <c r="AS16" s="411">
        <v>283.05</v>
      </c>
      <c r="AT16" s="411">
        <v>289.5</v>
      </c>
      <c r="AU16" s="411">
        <v>314.5</v>
      </c>
    </row>
    <row r="17" spans="1:66" ht="12" customHeight="1" thickBot="1">
      <c r="B17" s="1"/>
      <c r="C17" s="1"/>
      <c r="D17" s="1"/>
      <c r="E17" s="1"/>
      <c r="F17" s="1"/>
      <c r="G17" s="1"/>
      <c r="H17" s="1"/>
      <c r="I17" s="1"/>
      <c r="J17" s="1"/>
      <c r="K17" s="1"/>
      <c r="L17" s="1"/>
      <c r="M17" s="1"/>
      <c r="N17" s="1"/>
      <c r="O17" s="1"/>
      <c r="P17" s="1"/>
      <c r="Q17" s="1"/>
      <c r="R17" s="1"/>
      <c r="S17" s="1"/>
      <c r="T17" s="1"/>
      <c r="U17" s="1"/>
      <c r="V17" s="1"/>
      <c r="W17" s="1"/>
      <c r="AD17" s="411">
        <v>120</v>
      </c>
      <c r="AE17" s="416">
        <v>2.0358999999999998</v>
      </c>
      <c r="AF17" s="416">
        <v>2.2144999999999997</v>
      </c>
      <c r="AG17" s="416">
        <v>2.2946</v>
      </c>
      <c r="AH17" s="416">
        <v>2.3874999999999997</v>
      </c>
      <c r="AI17" s="416">
        <v>2.5455000000000001</v>
      </c>
      <c r="AJ17" s="416">
        <v>2.5968999999999998</v>
      </c>
      <c r="AK17" s="416">
        <v>2.8146000000000004</v>
      </c>
      <c r="AN17" s="411">
        <v>120</v>
      </c>
      <c r="AO17" s="411">
        <v>224.91679999999533</v>
      </c>
      <c r="AP17" s="411">
        <v>249.56999999999275</v>
      </c>
      <c r="AQ17" s="411">
        <v>259.60000000000002</v>
      </c>
      <c r="AR17" s="411">
        <v>272.5</v>
      </c>
      <c r="AS17" s="411">
        <v>291.85000000000002</v>
      </c>
      <c r="AT17" s="411">
        <v>298.3</v>
      </c>
      <c r="AU17" s="411">
        <v>323.5</v>
      </c>
    </row>
    <row r="18" spans="1:66" s="132" customFormat="1" ht="31.5" customHeight="1">
      <c r="A18" s="384"/>
      <c r="B18" s="403" t="s">
        <v>40</v>
      </c>
      <c r="C18" s="246" t="s">
        <v>187</v>
      </c>
      <c r="D18" s="246" t="s">
        <v>188</v>
      </c>
      <c r="E18" s="246" t="s">
        <v>189</v>
      </c>
      <c r="F18" s="246" t="s">
        <v>190</v>
      </c>
      <c r="G18" s="246" t="s">
        <v>191</v>
      </c>
      <c r="H18" s="246" t="s">
        <v>42</v>
      </c>
      <c r="I18" s="246" t="s">
        <v>44</v>
      </c>
      <c r="J18" s="246" t="s">
        <v>45</v>
      </c>
      <c r="K18" s="246" t="s">
        <v>46</v>
      </c>
      <c r="L18" s="246" t="s">
        <v>48</v>
      </c>
      <c r="M18" s="246" t="s">
        <v>49</v>
      </c>
      <c r="N18" s="246" t="s">
        <v>50</v>
      </c>
      <c r="O18" s="246" t="s">
        <v>51</v>
      </c>
      <c r="P18" s="246" t="s">
        <v>52</v>
      </c>
      <c r="Q18" s="246" t="s">
        <v>192</v>
      </c>
      <c r="R18" s="246" t="s">
        <v>54</v>
      </c>
      <c r="S18" s="246" t="s">
        <v>193</v>
      </c>
      <c r="T18" s="246" t="s">
        <v>56</v>
      </c>
      <c r="U18" s="246" t="s">
        <v>57</v>
      </c>
      <c r="V18" s="246" t="s">
        <v>59</v>
      </c>
      <c r="W18" s="273" t="s">
        <v>194</v>
      </c>
      <c r="AC18" s="413"/>
      <c r="AD18" s="411">
        <v>130</v>
      </c>
      <c r="AE18" s="417">
        <v>2.1554000000000002</v>
      </c>
      <c r="AF18" s="417">
        <v>2.3374999999999999</v>
      </c>
      <c r="AG18" s="417">
        <v>2.4185999999999996</v>
      </c>
      <c r="AH18" s="417">
        <v>2.5124999999999997</v>
      </c>
      <c r="AI18" s="417">
        <v>2.6750000000000003</v>
      </c>
      <c r="AJ18" s="417">
        <v>2.7274000000000003</v>
      </c>
      <c r="AK18" s="417">
        <v>2.9516</v>
      </c>
      <c r="AL18" s="413"/>
      <c r="AM18" s="413"/>
      <c r="AN18" s="413">
        <v>130</v>
      </c>
      <c r="AO18" s="413">
        <v>233.81119999999302</v>
      </c>
      <c r="AP18" s="413">
        <v>258.12999999998914</v>
      </c>
      <c r="AQ18" s="413">
        <v>268.39999999999998</v>
      </c>
      <c r="AR18" s="413">
        <v>281.29999999999995</v>
      </c>
      <c r="AS18" s="413">
        <v>300.64999999999998</v>
      </c>
      <c r="AT18" s="413">
        <v>307.10000000000002</v>
      </c>
      <c r="AU18" s="413">
        <v>332.5</v>
      </c>
      <c r="AV18" s="413"/>
      <c r="AW18" s="413"/>
      <c r="AX18" s="413"/>
      <c r="AY18" s="413"/>
      <c r="AZ18" s="413"/>
      <c r="BA18" s="413"/>
      <c r="BB18" s="413"/>
      <c r="BC18" s="413"/>
      <c r="BD18" s="413"/>
      <c r="BE18" s="413"/>
      <c r="BF18" s="413"/>
      <c r="BG18" s="413"/>
      <c r="BH18" s="413"/>
      <c r="BI18" s="413"/>
      <c r="BJ18" s="413"/>
      <c r="BK18" s="299"/>
      <c r="BL18" s="299"/>
      <c r="BM18" s="299"/>
      <c r="BN18" s="299"/>
    </row>
    <row r="19" spans="1:66">
      <c r="A19" s="385"/>
      <c r="B19" s="386"/>
      <c r="C19" s="89" t="str">
        <f>IF(ISBLANK(B19),"",INDEX('Liste des aliments'!$B$6:$B$966,MATCH(B19,'Liste des aliments'!$C$6:$C$966,0)))</f>
        <v/>
      </c>
      <c r="D19" s="135"/>
      <c r="E19" s="136"/>
      <c r="F19" s="7" t="str">
        <f>IF(ISBLANK($B19)," ",VLOOKUP($B19,'Liste des aliments'!$C$6:$W$966,2,FALSE))</f>
        <v xml:space="preserve"> </v>
      </c>
      <c r="G19" s="8" t="str">
        <f>IF(ISBLANK(B19)," ",(D19*E19/100))</f>
        <v xml:space="preserve"> </v>
      </c>
      <c r="H19" s="9" t="str">
        <f>IF(ISBLANK($B19)," ",VLOOKUP($B19,'Liste des aliments'!$C$6:$W$966,3,FALSE))</f>
        <v xml:space="preserve"> </v>
      </c>
      <c r="I19" s="9" t="str">
        <f>IF(ISBLANK($B19)," ",VLOOKUP($B19,'Liste des aliments'!$C$6:$W$966,5,FALSE))</f>
        <v xml:space="preserve"> </v>
      </c>
      <c r="J19" s="9" t="str">
        <f>IF(ISBLANK($B19)," ",VLOOKUP($B19,'Liste des aliments'!$C$6:$W$966,6,FALSE))</f>
        <v xml:space="preserve"> </v>
      </c>
      <c r="K19" s="8" t="str">
        <f>IF(ISBLANK($B19)," ",VLOOKUP($B19,'Liste des aliments'!$C$6:$W$966,7,FALSE))</f>
        <v xml:space="preserve"> </v>
      </c>
      <c r="L19" s="9" t="str">
        <f>IF(ISBLANK($B19)," ",VLOOKUP($B19,'Liste des aliments'!$C$6:$W$966,9,FALSE))</f>
        <v xml:space="preserve"> </v>
      </c>
      <c r="M19" s="9" t="str">
        <f>IF(ISBLANK($B19)," ",VLOOKUP($B19,'Liste des aliments'!$C$6:$W$966,10,FALSE))</f>
        <v xml:space="preserve"> </v>
      </c>
      <c r="N19" s="9" t="str">
        <f>IF(ISBLANK($B19)," ",VLOOKUP($B19,'Liste des aliments'!$C$6:$W$966,11,FALSE))</f>
        <v xml:space="preserve"> </v>
      </c>
      <c r="O19" s="7" t="str">
        <f>IF(ISBLANK($B19)," ",VLOOKUP($B19,'Liste des aliments'!$C$6:$W$966,12,FALSE))</f>
        <v xml:space="preserve"> </v>
      </c>
      <c r="P19" s="7" t="str">
        <f>IF(ISBLANK($B19)," ",VLOOKUP($B19,'Liste des aliments'!$C$6:$W$966,13,FALSE))</f>
        <v xml:space="preserve"> </v>
      </c>
      <c r="Q19" s="9" t="str">
        <f>IF(ISBLANK($B19)," ",VLOOKUP($B19,'Liste des aliments'!$C$6:$W$966,14,FALSE))</f>
        <v xml:space="preserve"> </v>
      </c>
      <c r="R19" s="9" t="str">
        <f>IF(ISBLANK($B19)," ",VLOOKUP($B19,'Liste des aliments'!$C$6:$W$966,15,FALSE))</f>
        <v xml:space="preserve"> </v>
      </c>
      <c r="S19" s="9" t="str">
        <f>IF(ISBLANK($B19)," ",VLOOKUP($B19,'Liste des aliments'!$C$6:$W$966,16,FALSE))</f>
        <v xml:space="preserve"> </v>
      </c>
      <c r="T19" s="9" t="str">
        <f>IF(ISBLANK($B19)," ",VLOOKUP($B19,'Liste des aliments'!$C$6:$W$966,17,FALSE))</f>
        <v xml:space="preserve"> </v>
      </c>
      <c r="U19" s="9" t="str">
        <f>IF(ISBLANK($B19)," ",VLOOKUP($B19,'Liste des aliments'!$C$6:$W$966,18,FALSE))</f>
        <v xml:space="preserve"> </v>
      </c>
      <c r="V19" s="9" t="str">
        <f>IF(ISBLANK($B19)," ",VLOOKUP($B19,'Liste des aliments'!$C$6:$W$966,20,FALSE))</f>
        <v xml:space="preserve"> </v>
      </c>
      <c r="W19" s="107"/>
      <c r="AD19" s="411">
        <v>140</v>
      </c>
      <c r="AE19" s="416">
        <v>2.2739000000000003</v>
      </c>
      <c r="AF19" s="416">
        <v>2.4596999999999998</v>
      </c>
      <c r="AG19" s="416">
        <v>2.5418000000000003</v>
      </c>
      <c r="AH19" s="416">
        <v>2.6366999999999998</v>
      </c>
      <c r="AI19" s="416">
        <v>2.8039000000000001</v>
      </c>
      <c r="AJ19" s="416">
        <v>2.8573</v>
      </c>
      <c r="AK19" s="416">
        <v>3.0882000000000005</v>
      </c>
      <c r="AN19" s="411">
        <v>140</v>
      </c>
      <c r="AO19" s="411">
        <v>242.70559999999071</v>
      </c>
      <c r="AP19" s="411">
        <v>266.6899999999855</v>
      </c>
      <c r="AQ19" s="411">
        <v>277.20000000000005</v>
      </c>
      <c r="AR19" s="411">
        <v>290.10000000000002</v>
      </c>
      <c r="AS19" s="411">
        <v>309.45000000000005</v>
      </c>
      <c r="AT19" s="411">
        <v>315.90000000000003</v>
      </c>
      <c r="AU19" s="411">
        <v>341.50000000000006</v>
      </c>
    </row>
    <row r="20" spans="1:66">
      <c r="A20" s="385"/>
      <c r="B20" s="387"/>
      <c r="C20" s="89" t="str">
        <f>IF(ISBLANK(B20),"",INDEX('Liste des aliments'!$B$6:$B$966,MATCH(B20,'Liste des aliments'!$C$6:$C$966,0)))</f>
        <v/>
      </c>
      <c r="D20" s="138"/>
      <c r="E20" s="139"/>
      <c r="F20" s="13" t="str">
        <f>IF(ISBLANK($B20)," ",VLOOKUP($B20,'Liste des aliments'!$C$6:$W$966,'Liste des aliments'!D$1-2,FALSE))</f>
        <v xml:space="preserve"> </v>
      </c>
      <c r="G20" s="14" t="str">
        <f t="shared" ref="G20:G34" si="1">IF(ISBLANK(B20)," ",(D20*E20/100))</f>
        <v xml:space="preserve"> </v>
      </c>
      <c r="H20" s="12" t="str">
        <f>IF(ISBLANK($B20)," ",VLOOKUP($B20,'Liste des aliments'!$C$6:$W$966,3,FALSE))</f>
        <v xml:space="preserve"> </v>
      </c>
      <c r="I20" s="12" t="str">
        <f>IF(ISBLANK($B20)," ",VLOOKUP($B20,'Liste des aliments'!$C$6:$W$966,5,FALSE))</f>
        <v xml:space="preserve"> </v>
      </c>
      <c r="J20" s="12" t="str">
        <f>IF(ISBLANK($B20)," ",VLOOKUP($B20,'Liste des aliments'!$C$6:$W$966,6,FALSE))</f>
        <v xml:space="preserve"> </v>
      </c>
      <c r="K20" s="14" t="str">
        <f>IF(ISBLANK($B20)," ",VLOOKUP($B20,'Liste des aliments'!$C$6:$W$966,7,FALSE))</f>
        <v xml:space="preserve"> </v>
      </c>
      <c r="L20" s="12" t="str">
        <f>IF(ISBLANK($B20)," ",VLOOKUP($B20,'Liste des aliments'!$C$6:$W$966,9,FALSE))</f>
        <v xml:space="preserve"> </v>
      </c>
      <c r="M20" s="12" t="str">
        <f>IF(ISBLANK($B20)," ",VLOOKUP($B20,'Liste des aliments'!$C$6:$W$966,10,FALSE))</f>
        <v xml:space="preserve"> </v>
      </c>
      <c r="N20" s="12" t="str">
        <f>IF(ISBLANK($B20)," ",VLOOKUP($B20,'Liste des aliments'!$C$6:$W$966,11,FALSE))</f>
        <v xml:space="preserve"> </v>
      </c>
      <c r="O20" s="13" t="str">
        <f>IF(ISBLANK($B20)," ",VLOOKUP($B20,'Liste des aliments'!$C$6:$W$966,12,FALSE))</f>
        <v xml:space="preserve"> </v>
      </c>
      <c r="P20" s="13" t="str">
        <f>IF(ISBLANK($B20)," ",VLOOKUP($B20,'Liste des aliments'!$C$6:$W$966,13,FALSE))</f>
        <v xml:space="preserve"> </v>
      </c>
      <c r="Q20" s="12" t="str">
        <f>IF(ISBLANK($B20)," ",VLOOKUP($B20,'Liste des aliments'!$C$6:$W$966,14,FALSE))</f>
        <v xml:space="preserve"> </v>
      </c>
      <c r="R20" s="12" t="str">
        <f>IF(ISBLANK($B20)," ",VLOOKUP($B20,'Liste des aliments'!$C$6:$W$966,15,FALSE))</f>
        <v xml:space="preserve"> </v>
      </c>
      <c r="S20" s="12" t="str">
        <f>IF(ISBLANK($B20)," ",VLOOKUP($B20,'Liste des aliments'!$C$6:$W$966,16,FALSE))</f>
        <v xml:space="preserve"> </v>
      </c>
      <c r="T20" s="12" t="str">
        <f>IF(ISBLANK($B20)," ",VLOOKUP($B20,'Liste des aliments'!$C$6:$W$966,17,FALSE))</f>
        <v xml:space="preserve"> </v>
      </c>
      <c r="U20" s="12" t="str">
        <f>IF(ISBLANK($B20)," ",VLOOKUP($B20,'Liste des aliments'!$C$6:$W$966,18,FALSE))</f>
        <v xml:space="preserve"> </v>
      </c>
      <c r="V20" s="12" t="str">
        <f>IF(ISBLANK($B20)," ",VLOOKUP($B20,'Liste des aliments'!$C$6:$W$966,20,FALSE))</f>
        <v xml:space="preserve"> </v>
      </c>
      <c r="W20" s="107"/>
      <c r="AD20" s="411">
        <v>150</v>
      </c>
      <c r="AE20" s="416">
        <v>2.3914</v>
      </c>
      <c r="AF20" s="416">
        <v>2.5810999999999997</v>
      </c>
      <c r="AG20" s="416">
        <v>2.6642000000000001</v>
      </c>
      <c r="AH20" s="416">
        <v>2.7600999999999996</v>
      </c>
      <c r="AI20" s="416">
        <v>2.9322000000000004</v>
      </c>
      <c r="AJ20" s="416">
        <v>2.9866000000000001</v>
      </c>
      <c r="AK20" s="416">
        <v>3.2244000000000002</v>
      </c>
      <c r="AN20" s="411">
        <v>150</v>
      </c>
      <c r="AO20" s="411">
        <v>251.59999999998837</v>
      </c>
      <c r="AP20" s="411">
        <v>275.24999999998187</v>
      </c>
      <c r="AQ20" s="411">
        <v>286</v>
      </c>
      <c r="AR20" s="411">
        <v>298.89999999999998</v>
      </c>
      <c r="AS20" s="411">
        <v>318.25</v>
      </c>
      <c r="AT20" s="411">
        <v>324.70000000000005</v>
      </c>
      <c r="AU20" s="411">
        <v>350.5</v>
      </c>
    </row>
    <row r="21" spans="1:66">
      <c r="A21" s="385"/>
      <c r="B21" s="387"/>
      <c r="C21" s="89" t="str">
        <f>IF(ISBLANK(B21),"",INDEX('Liste des aliments'!$B$6:$B$966,MATCH(B21,'Liste des aliments'!$C$6:$C$966,0)))</f>
        <v/>
      </c>
      <c r="D21" s="138"/>
      <c r="E21" s="139"/>
      <c r="F21" s="13" t="str">
        <f>IF(ISBLANK($B21)," ",VLOOKUP($B21,'Liste des aliments'!$C$6:$W$966,'Liste des aliments'!D$1-2,FALSE))</f>
        <v xml:space="preserve"> </v>
      </c>
      <c r="G21" s="14" t="str">
        <f t="shared" si="1"/>
        <v xml:space="preserve"> </v>
      </c>
      <c r="H21" s="12" t="str">
        <f>IF(ISBLANK($B21)," ",VLOOKUP($B21,'Liste des aliments'!$C$6:$W$966,3,FALSE))</f>
        <v xml:space="preserve"> </v>
      </c>
      <c r="I21" s="12" t="str">
        <f>IF(ISBLANK($B21)," ",VLOOKUP($B21,'Liste des aliments'!$C$6:$W$966,5,FALSE))</f>
        <v xml:space="preserve"> </v>
      </c>
      <c r="J21" s="12" t="str">
        <f>IF(ISBLANK($B21)," ",VLOOKUP($B21,'Liste des aliments'!$C$6:$W$966,6,FALSE))</f>
        <v xml:space="preserve"> </v>
      </c>
      <c r="K21" s="14" t="str">
        <f>IF(ISBLANK($B21)," ",VLOOKUP($B21,'Liste des aliments'!$C$6:$W$966,7,FALSE))</f>
        <v xml:space="preserve"> </v>
      </c>
      <c r="L21" s="12" t="str">
        <f>IF(ISBLANK($B21)," ",VLOOKUP($B21,'Liste des aliments'!$C$6:$W$966,9,FALSE))</f>
        <v xml:space="preserve"> </v>
      </c>
      <c r="M21" s="12" t="str">
        <f>IF(ISBLANK($B21)," ",VLOOKUP($B21,'Liste des aliments'!$C$6:$W$966,10,FALSE))</f>
        <v xml:space="preserve"> </v>
      </c>
      <c r="N21" s="12" t="str">
        <f>IF(ISBLANK($B21)," ",VLOOKUP($B21,'Liste des aliments'!$C$6:$W$966,11,FALSE))</f>
        <v xml:space="preserve"> </v>
      </c>
      <c r="O21" s="13" t="str">
        <f>IF(ISBLANK($B21)," ",VLOOKUP($B21,'Liste des aliments'!$C$6:$W$966,12,FALSE))</f>
        <v xml:space="preserve"> </v>
      </c>
      <c r="P21" s="13" t="str">
        <f>IF(ISBLANK($B21)," ",VLOOKUP($B21,'Liste des aliments'!$C$6:$W$966,13,FALSE))</f>
        <v xml:space="preserve"> </v>
      </c>
      <c r="Q21" s="12" t="str">
        <f>IF(ISBLANK($B21)," ",VLOOKUP($B21,'Liste des aliments'!$C$6:$W$966,14,FALSE))</f>
        <v xml:space="preserve"> </v>
      </c>
      <c r="R21" s="12" t="str">
        <f>IF(ISBLANK($B21)," ",VLOOKUP($B21,'Liste des aliments'!$C$6:$W$966,15,FALSE))</f>
        <v xml:space="preserve"> </v>
      </c>
      <c r="S21" s="12" t="str">
        <f>IF(ISBLANK($B21)," ",VLOOKUP($B21,'Liste des aliments'!$C$6:$W$966,16,FALSE))</f>
        <v xml:space="preserve"> </v>
      </c>
      <c r="T21" s="12" t="str">
        <f>IF(ISBLANK($B21)," ",VLOOKUP($B21,'Liste des aliments'!$C$6:$W$966,17,FALSE))</f>
        <v xml:space="preserve"> </v>
      </c>
      <c r="U21" s="12" t="str">
        <f>IF(ISBLANK($B21)," ",VLOOKUP($B21,'Liste des aliments'!$C$6:$W$966,18,FALSE))</f>
        <v xml:space="preserve"> </v>
      </c>
      <c r="V21" s="12" t="str">
        <f>IF(ISBLANK($B21)," ",VLOOKUP($B21,'Liste des aliments'!$C$6:$W$966,20,FALSE))</f>
        <v xml:space="preserve"> </v>
      </c>
      <c r="W21" s="107"/>
      <c r="AD21" s="411">
        <v>160</v>
      </c>
      <c r="AE21" s="416">
        <v>2.5079000000000002</v>
      </c>
      <c r="AF21" s="416">
        <v>2.7017000000000002</v>
      </c>
      <c r="AG21" s="416">
        <v>2.7858000000000001</v>
      </c>
      <c r="AH21" s="416">
        <v>2.8827000000000003</v>
      </c>
      <c r="AI21" s="416">
        <v>3.0599000000000003</v>
      </c>
      <c r="AJ21" s="416">
        <v>3.1153000000000004</v>
      </c>
      <c r="AK21" s="416">
        <v>3.3601999999999999</v>
      </c>
      <c r="AN21" s="411">
        <v>160</v>
      </c>
      <c r="AO21" s="411">
        <v>259.52439999999069</v>
      </c>
      <c r="AP21" s="411">
        <v>283.79999999998552</v>
      </c>
      <c r="AQ21" s="411">
        <v>294.8</v>
      </c>
      <c r="AR21" s="411">
        <v>307.7</v>
      </c>
      <c r="AS21" s="411">
        <v>327.05</v>
      </c>
      <c r="AT21" s="411">
        <v>333.50000000000006</v>
      </c>
      <c r="AU21" s="411">
        <v>358.90000000000003</v>
      </c>
    </row>
    <row r="22" spans="1:66" ht="15.6">
      <c r="A22" s="385"/>
      <c r="B22" s="387"/>
      <c r="C22" s="89" t="str">
        <f>IF(ISBLANK(B22),"",INDEX('Liste des aliments'!$B$6:$B$966,MATCH(B22,'Liste des aliments'!$C$6:$C$966,0)))</f>
        <v/>
      </c>
      <c r="D22" s="138"/>
      <c r="E22" s="139"/>
      <c r="F22" s="13" t="str">
        <f>IF(ISBLANK($B22)," ",VLOOKUP($B22,'Liste des aliments'!$C$6:$W$966,'Liste des aliments'!D$1-2,FALSE))</f>
        <v xml:space="preserve"> </v>
      </c>
      <c r="G22" s="14" t="str">
        <f t="shared" si="1"/>
        <v xml:space="preserve"> </v>
      </c>
      <c r="H22" s="12" t="str">
        <f>IF(ISBLANK($B22)," ",VLOOKUP($B22,'Liste des aliments'!$C$6:$W$966,3,FALSE))</f>
        <v xml:space="preserve"> </v>
      </c>
      <c r="I22" s="12" t="str">
        <f>IF(ISBLANK($B22)," ",VLOOKUP($B22,'Liste des aliments'!$C$6:$W$966,5,FALSE))</f>
        <v xml:space="preserve"> </v>
      </c>
      <c r="J22" s="12" t="str">
        <f>IF(ISBLANK($B22)," ",VLOOKUP($B22,'Liste des aliments'!$C$6:$W$966,6,FALSE))</f>
        <v xml:space="preserve"> </v>
      </c>
      <c r="K22" s="14" t="str">
        <f>IF(ISBLANK($B22)," ",VLOOKUP($B22,'Liste des aliments'!$C$6:$W$966,7,FALSE))</f>
        <v xml:space="preserve"> </v>
      </c>
      <c r="L22" s="12" t="str">
        <f>IF(ISBLANK($B22)," ",VLOOKUP($B22,'Liste des aliments'!$C$6:$W$966,9,FALSE))</f>
        <v xml:space="preserve"> </v>
      </c>
      <c r="M22" s="12" t="str">
        <f>IF(ISBLANK($B22)," ",VLOOKUP($B22,'Liste des aliments'!$C$6:$W$966,10,FALSE))</f>
        <v xml:space="preserve"> </v>
      </c>
      <c r="N22" s="12" t="str">
        <f>IF(ISBLANK($B22)," ",VLOOKUP($B22,'Liste des aliments'!$C$6:$W$966,11,FALSE))</f>
        <v xml:space="preserve"> </v>
      </c>
      <c r="O22" s="13" t="str">
        <f>IF(ISBLANK($B22)," ",VLOOKUP($B22,'Liste des aliments'!$C$6:$W$966,12,FALSE))</f>
        <v xml:space="preserve"> </v>
      </c>
      <c r="P22" s="13" t="str">
        <f>IF(ISBLANK($B22)," ",VLOOKUP($B22,'Liste des aliments'!$C$6:$W$966,13,FALSE))</f>
        <v xml:space="preserve"> </v>
      </c>
      <c r="Q22" s="12" t="str">
        <f>IF(ISBLANK($B22)," ",VLOOKUP($B22,'Liste des aliments'!$C$6:$W$966,14,FALSE))</f>
        <v xml:space="preserve"> </v>
      </c>
      <c r="R22" s="12" t="str">
        <f>IF(ISBLANK($B22)," ",VLOOKUP($B22,'Liste des aliments'!$C$6:$W$966,15,FALSE))</f>
        <v xml:space="preserve"> </v>
      </c>
      <c r="S22" s="12" t="str">
        <f>IF(ISBLANK($B22)," ",VLOOKUP($B22,'Liste des aliments'!$C$6:$W$966,16,FALSE))</f>
        <v xml:space="preserve"> </v>
      </c>
      <c r="T22" s="12" t="str">
        <f>IF(ISBLANK($B22)," ",VLOOKUP($B22,'Liste des aliments'!$C$6:$W$966,17,FALSE))</f>
        <v xml:space="preserve"> </v>
      </c>
      <c r="U22" s="12" t="str">
        <f>IF(ISBLANK($B22)," ",VLOOKUP($B22,'Liste des aliments'!$C$6:$W$966,18,FALSE))</f>
        <v xml:space="preserve"> </v>
      </c>
      <c r="V22" s="12" t="str">
        <f>IF(ISBLANK($B22)," ",VLOOKUP($B22,'Liste des aliments'!$C$6:$W$966,20,FALSE))</f>
        <v xml:space="preserve"> </v>
      </c>
      <c r="W22" s="107"/>
      <c r="Z22" s="141"/>
      <c r="AD22" s="411">
        <v>170</v>
      </c>
      <c r="AE22" s="416">
        <v>2.6234000000000002</v>
      </c>
      <c r="AF22" s="416">
        <v>2.8214999999999995</v>
      </c>
      <c r="AG22" s="416">
        <v>2.9066000000000001</v>
      </c>
      <c r="AH22" s="416">
        <v>3.0044999999999997</v>
      </c>
      <c r="AI22" s="416">
        <v>3.1870000000000003</v>
      </c>
      <c r="AJ22" s="416">
        <v>3.2434000000000003</v>
      </c>
      <c r="AK22" s="416">
        <v>3.4956000000000005</v>
      </c>
      <c r="AN22" s="411">
        <v>170</v>
      </c>
      <c r="AO22" s="411">
        <v>267.44879999999301</v>
      </c>
      <c r="AP22" s="411">
        <v>292.34999999998911</v>
      </c>
      <c r="AQ22" s="411">
        <v>303.60000000000002</v>
      </c>
      <c r="AR22" s="411">
        <v>316.5</v>
      </c>
      <c r="AS22" s="411">
        <v>335.85</v>
      </c>
      <c r="AT22" s="411">
        <v>342.3</v>
      </c>
      <c r="AU22" s="411">
        <v>367.29999999999995</v>
      </c>
    </row>
    <row r="23" spans="1:66" ht="14.4">
      <c r="A23" s="385"/>
      <c r="B23" s="387"/>
      <c r="C23" s="89" t="str">
        <f>IF(ISBLANK(B23),"",INDEX('Liste des aliments'!$B$6:$B$966,MATCH(B23,'Liste des aliments'!$C$6:$C$966,0)))</f>
        <v/>
      </c>
      <c r="D23" s="138"/>
      <c r="E23" s="139"/>
      <c r="F23" s="13" t="str">
        <f>IF(ISBLANK($B23)," ",VLOOKUP($B23,'Liste des aliments'!$C$6:$W$966,'Liste des aliments'!D$1-2,FALSE))</f>
        <v xml:space="preserve"> </v>
      </c>
      <c r="G23" s="14" t="str">
        <f t="shared" si="1"/>
        <v xml:space="preserve"> </v>
      </c>
      <c r="H23" s="12" t="str">
        <f>IF(ISBLANK($B23)," ",VLOOKUP($B23,'Liste des aliments'!$C$6:$W$966,3,FALSE))</f>
        <v xml:space="preserve"> </v>
      </c>
      <c r="I23" s="12" t="str">
        <f>IF(ISBLANK($B23)," ",VLOOKUP($B23,'Liste des aliments'!$C$6:$W$966,5,FALSE))</f>
        <v xml:space="preserve"> </v>
      </c>
      <c r="J23" s="12" t="str">
        <f>IF(ISBLANK($B23)," ",VLOOKUP($B23,'Liste des aliments'!$C$6:$W$966,6,FALSE))</f>
        <v xml:space="preserve"> </v>
      </c>
      <c r="K23" s="14" t="str">
        <f>IF(ISBLANK($B23)," ",VLOOKUP($B23,'Liste des aliments'!$C$6:$W$966,7,FALSE))</f>
        <v xml:space="preserve"> </v>
      </c>
      <c r="L23" s="12" t="str">
        <f>IF(ISBLANK($B23)," ",VLOOKUP($B23,'Liste des aliments'!$C$6:$W$966,9,FALSE))</f>
        <v xml:space="preserve"> </v>
      </c>
      <c r="M23" s="12" t="str">
        <f>IF(ISBLANK($B23)," ",VLOOKUP($B23,'Liste des aliments'!$C$6:$W$966,10,FALSE))</f>
        <v xml:space="preserve"> </v>
      </c>
      <c r="N23" s="12" t="str">
        <f>IF(ISBLANK($B23)," ",VLOOKUP($B23,'Liste des aliments'!$C$6:$W$966,11,FALSE))</f>
        <v xml:space="preserve"> </v>
      </c>
      <c r="O23" s="13" t="str">
        <f>IF(ISBLANK($B23)," ",VLOOKUP($B23,'Liste des aliments'!$C$6:$W$966,12,FALSE))</f>
        <v xml:space="preserve"> </v>
      </c>
      <c r="P23" s="13" t="str">
        <f>IF(ISBLANK($B23)," ",VLOOKUP($B23,'Liste des aliments'!$C$6:$W$966,13,FALSE))</f>
        <v xml:space="preserve"> </v>
      </c>
      <c r="Q23" s="12" t="str">
        <f>IF(ISBLANK($B23)," ",VLOOKUP($B23,'Liste des aliments'!$C$6:$W$966,14,FALSE))</f>
        <v xml:space="preserve"> </v>
      </c>
      <c r="R23" s="12" t="str">
        <f>IF(ISBLANK($B23)," ",VLOOKUP($B23,'Liste des aliments'!$C$6:$W$966,15,FALSE))</f>
        <v xml:space="preserve"> </v>
      </c>
      <c r="S23" s="12" t="str">
        <f>IF(ISBLANK($B23)," ",VLOOKUP($B23,'Liste des aliments'!$C$6:$W$966,16,FALSE))</f>
        <v xml:space="preserve"> </v>
      </c>
      <c r="T23" s="12" t="str">
        <f>IF(ISBLANK($B23)," ",VLOOKUP($B23,'Liste des aliments'!$C$6:$W$966,17,FALSE))</f>
        <v xml:space="preserve"> </v>
      </c>
      <c r="U23" s="12" t="str">
        <f>IF(ISBLANK($B23)," ",VLOOKUP($B23,'Liste des aliments'!$C$6:$W$966,18,FALSE))</f>
        <v xml:space="preserve"> </v>
      </c>
      <c r="V23" s="12" t="str">
        <f>IF(ISBLANK($B23)," ",VLOOKUP($B23,'Liste des aliments'!$C$6:$W$966,20,FALSE))</f>
        <v xml:space="preserve"> </v>
      </c>
      <c r="W23" s="107"/>
      <c r="Z23" s="300"/>
      <c r="AD23" s="411">
        <v>180</v>
      </c>
      <c r="AE23" s="416">
        <v>2.7378999999999998</v>
      </c>
      <c r="AF23" s="416">
        <v>2.9404999999999997</v>
      </c>
      <c r="AG23" s="416">
        <v>3.0266000000000002</v>
      </c>
      <c r="AH23" s="416">
        <v>3.1255000000000002</v>
      </c>
      <c r="AI23" s="416">
        <v>3.3135000000000003</v>
      </c>
      <c r="AJ23" s="416">
        <v>3.3708999999999998</v>
      </c>
      <c r="AK23" s="416">
        <v>3.6306000000000003</v>
      </c>
      <c r="AN23" s="411">
        <v>180</v>
      </c>
      <c r="AO23" s="411">
        <v>275.37319999999534</v>
      </c>
      <c r="AP23" s="411">
        <v>300.8999999999927</v>
      </c>
      <c r="AQ23" s="411">
        <v>312.39999999999998</v>
      </c>
      <c r="AR23" s="411">
        <v>325.29999999999995</v>
      </c>
      <c r="AS23" s="411">
        <v>344.65</v>
      </c>
      <c r="AT23" s="411">
        <v>351.1</v>
      </c>
      <c r="AU23" s="411">
        <v>375.70000000000005</v>
      </c>
    </row>
    <row r="24" spans="1:66">
      <c r="A24" s="385"/>
      <c r="B24" s="387"/>
      <c r="C24" s="89" t="str">
        <f>IF(ISBLANK(B24),"",INDEX('Liste des aliments'!$B$6:$B$966,MATCH(B24,'Liste des aliments'!$C$6:$C$966,0)))</f>
        <v/>
      </c>
      <c r="D24" s="138"/>
      <c r="E24" s="139"/>
      <c r="F24" s="13" t="str">
        <f>IF(ISBLANK($B24)," ",VLOOKUP($B24,'Liste des aliments'!$C$6:$W$966,'Liste des aliments'!D$1-2,FALSE))</f>
        <v xml:space="preserve"> </v>
      </c>
      <c r="G24" s="14" t="str">
        <f t="shared" si="1"/>
        <v xml:space="preserve"> </v>
      </c>
      <c r="H24" s="12" t="str">
        <f>IF(ISBLANK($B24)," ",VLOOKUP($B24,'Liste des aliments'!$C$6:$W$966,3,FALSE))</f>
        <v xml:space="preserve"> </v>
      </c>
      <c r="I24" s="12" t="str">
        <f>IF(ISBLANK($B24)," ",VLOOKUP($B24,'Liste des aliments'!$C$6:$W$966,5,FALSE))</f>
        <v xml:space="preserve"> </v>
      </c>
      <c r="J24" s="12" t="str">
        <f>IF(ISBLANK($B24)," ",VLOOKUP($B24,'Liste des aliments'!$C$6:$W$966,6,FALSE))</f>
        <v xml:space="preserve"> </v>
      </c>
      <c r="K24" s="14" t="str">
        <f>IF(ISBLANK($B24)," ",VLOOKUP($B24,'Liste des aliments'!$C$6:$W$966,7,FALSE))</f>
        <v xml:space="preserve"> </v>
      </c>
      <c r="L24" s="12" t="str">
        <f>IF(ISBLANK($B24)," ",VLOOKUP($B24,'Liste des aliments'!$C$6:$W$966,9,FALSE))</f>
        <v xml:space="preserve"> </v>
      </c>
      <c r="M24" s="12" t="str">
        <f>IF(ISBLANK($B24)," ",VLOOKUP($B24,'Liste des aliments'!$C$6:$W$966,10,FALSE))</f>
        <v xml:space="preserve"> </v>
      </c>
      <c r="N24" s="12" t="str">
        <f>IF(ISBLANK($B24)," ",VLOOKUP($B24,'Liste des aliments'!$C$6:$W$966,11,FALSE))</f>
        <v xml:space="preserve"> </v>
      </c>
      <c r="O24" s="13" t="str">
        <f>IF(ISBLANK($B24)," ",VLOOKUP($B24,'Liste des aliments'!$C$6:$W$966,12,FALSE))</f>
        <v xml:space="preserve"> </v>
      </c>
      <c r="P24" s="13" t="str">
        <f>IF(ISBLANK($B24)," ",VLOOKUP($B24,'Liste des aliments'!$C$6:$W$966,13,FALSE))</f>
        <v xml:space="preserve"> </v>
      </c>
      <c r="Q24" s="12" t="str">
        <f>IF(ISBLANK($B24)," ",VLOOKUP($B24,'Liste des aliments'!$C$6:$W$966,14,FALSE))</f>
        <v xml:space="preserve"> </v>
      </c>
      <c r="R24" s="12" t="str">
        <f>IF(ISBLANK($B24)," ",VLOOKUP($B24,'Liste des aliments'!$C$6:$W$966,15,FALSE))</f>
        <v xml:space="preserve"> </v>
      </c>
      <c r="S24" s="12" t="str">
        <f>IF(ISBLANK($B24)," ",VLOOKUP($B24,'Liste des aliments'!$C$6:$W$966,16,FALSE))</f>
        <v xml:space="preserve"> </v>
      </c>
      <c r="T24" s="12" t="str">
        <f>IF(ISBLANK($B24)," ",VLOOKUP($B24,'Liste des aliments'!$C$6:$W$966,17,FALSE))</f>
        <v xml:space="preserve"> </v>
      </c>
      <c r="U24" s="12" t="str">
        <f>IF(ISBLANK($B24)," ",VLOOKUP($B24,'Liste des aliments'!$C$6:$W$966,18,FALSE))</f>
        <v xml:space="preserve"> </v>
      </c>
      <c r="V24" s="12" t="str">
        <f>IF(ISBLANK($B24)," ",VLOOKUP($B24,'Liste des aliments'!$C$6:$W$966,20,FALSE))</f>
        <v xml:space="preserve"> </v>
      </c>
      <c r="W24" s="107"/>
      <c r="AD24" s="411">
        <v>190</v>
      </c>
      <c r="AE24" s="416">
        <v>2.8513999999999999</v>
      </c>
      <c r="AF24" s="416">
        <v>3.0586999999999995</v>
      </c>
      <c r="AG24" s="416">
        <v>3.1458000000000004</v>
      </c>
      <c r="AH24" s="416">
        <v>3.2456999999999998</v>
      </c>
      <c r="AI24" s="416">
        <v>3.4394000000000005</v>
      </c>
      <c r="AJ24" s="416">
        <v>3.4977999999999998</v>
      </c>
      <c r="AK24" s="416">
        <v>3.7652000000000001</v>
      </c>
      <c r="AN24" s="411">
        <v>190</v>
      </c>
      <c r="AO24" s="411">
        <v>283.29759999999766</v>
      </c>
      <c r="AP24" s="411">
        <v>309.44999999999641</v>
      </c>
      <c r="AQ24" s="411">
        <v>321.2</v>
      </c>
      <c r="AR24" s="411">
        <v>334.1</v>
      </c>
      <c r="AS24" s="411">
        <v>353.45000000000005</v>
      </c>
      <c r="AT24" s="411">
        <v>359.9</v>
      </c>
      <c r="AU24" s="411">
        <v>384.1</v>
      </c>
    </row>
    <row r="25" spans="1:66">
      <c r="A25" s="385"/>
      <c r="B25" s="387"/>
      <c r="C25" s="89" t="str">
        <f>IF(ISBLANK(B25),"",INDEX('Liste des aliments'!$B$6:$B$966,MATCH(B25,'Liste des aliments'!$C$6:$C$966,0)))</f>
        <v/>
      </c>
      <c r="D25" s="138"/>
      <c r="E25" s="139"/>
      <c r="F25" s="13" t="str">
        <f>IF(ISBLANK($B25)," ",VLOOKUP($B25,'Liste des aliments'!$C$6:$W$966,'Liste des aliments'!D$1-2,FALSE))</f>
        <v xml:space="preserve"> </v>
      </c>
      <c r="G25" s="14" t="str">
        <f t="shared" si="1"/>
        <v xml:space="preserve"> </v>
      </c>
      <c r="H25" s="12" t="str">
        <f>IF(ISBLANK($B25)," ",VLOOKUP($B25,'Liste des aliments'!$C$6:$W$966,3,FALSE))</f>
        <v xml:space="preserve"> </v>
      </c>
      <c r="I25" s="12" t="str">
        <f>IF(ISBLANK($B25)," ",VLOOKUP($B25,'Liste des aliments'!$C$6:$W$966,5,FALSE))</f>
        <v xml:space="preserve"> </v>
      </c>
      <c r="J25" s="12" t="str">
        <f>IF(ISBLANK($B25)," ",VLOOKUP($B25,'Liste des aliments'!$C$6:$W$966,6,FALSE))</f>
        <v xml:space="preserve"> </v>
      </c>
      <c r="K25" s="14" t="str">
        <f>IF(ISBLANK($B25)," ",VLOOKUP($B25,'Liste des aliments'!$C$6:$W$966,7,FALSE))</f>
        <v xml:space="preserve"> </v>
      </c>
      <c r="L25" s="12" t="str">
        <f>IF(ISBLANK($B25)," ",VLOOKUP($B25,'Liste des aliments'!$C$6:$W$966,9,FALSE))</f>
        <v xml:space="preserve"> </v>
      </c>
      <c r="M25" s="12" t="str">
        <f>IF(ISBLANK($B25)," ",VLOOKUP($B25,'Liste des aliments'!$C$6:$W$966,10,FALSE))</f>
        <v xml:space="preserve"> </v>
      </c>
      <c r="N25" s="12" t="str">
        <f>IF(ISBLANK($B25)," ",VLOOKUP($B25,'Liste des aliments'!$C$6:$W$966,11,FALSE))</f>
        <v xml:space="preserve"> </v>
      </c>
      <c r="O25" s="13" t="str">
        <f>IF(ISBLANK($B25)," ",VLOOKUP($B25,'Liste des aliments'!$C$6:$W$966,12,FALSE))</f>
        <v xml:space="preserve"> </v>
      </c>
      <c r="P25" s="13" t="str">
        <f>IF(ISBLANK($B25)," ",VLOOKUP($B25,'Liste des aliments'!$C$6:$W$966,13,FALSE))</f>
        <v xml:space="preserve"> </v>
      </c>
      <c r="Q25" s="12" t="str">
        <f>IF(ISBLANK($B25)," ",VLOOKUP($B25,'Liste des aliments'!$C$6:$W$966,14,FALSE))</f>
        <v xml:space="preserve"> </v>
      </c>
      <c r="R25" s="12" t="str">
        <f>IF(ISBLANK($B25)," ",VLOOKUP($B25,'Liste des aliments'!$C$6:$W$966,15,FALSE))</f>
        <v xml:space="preserve"> </v>
      </c>
      <c r="S25" s="12" t="str">
        <f>IF(ISBLANK($B25)," ",VLOOKUP($B25,'Liste des aliments'!$C$6:$W$966,16,FALSE))</f>
        <v xml:space="preserve"> </v>
      </c>
      <c r="T25" s="12" t="str">
        <f>IF(ISBLANK($B25)," ",VLOOKUP($B25,'Liste des aliments'!$C$6:$W$966,17,FALSE))</f>
        <v xml:space="preserve"> </v>
      </c>
      <c r="U25" s="12" t="str">
        <f>IF(ISBLANK($B25)," ",VLOOKUP($B25,'Liste des aliments'!$C$6:$W$966,18,FALSE))</f>
        <v xml:space="preserve"> </v>
      </c>
      <c r="V25" s="12" t="str">
        <f>IF(ISBLANK($B25)," ",VLOOKUP($B25,'Liste des aliments'!$C$6:$W$966,20,FALSE))</f>
        <v xml:space="preserve"> </v>
      </c>
      <c r="W25" s="107"/>
      <c r="AD25" s="411">
        <v>200</v>
      </c>
      <c r="AE25" s="416">
        <v>2.9638999999999998</v>
      </c>
      <c r="AF25" s="416">
        <v>3.1760999999999995</v>
      </c>
      <c r="AG25" s="416">
        <v>3.2641999999999998</v>
      </c>
      <c r="AH25" s="416">
        <v>3.3651</v>
      </c>
      <c r="AI25" s="416">
        <v>3.5647000000000002</v>
      </c>
      <c r="AJ25" s="416">
        <v>3.6240999999999994</v>
      </c>
      <c r="AK25" s="416">
        <v>3.8994</v>
      </c>
      <c r="AN25" s="411">
        <v>200</v>
      </c>
      <c r="AO25" s="411">
        <v>291.22199999999998</v>
      </c>
      <c r="AP25" s="411">
        <v>318</v>
      </c>
      <c r="AQ25" s="411">
        <v>330</v>
      </c>
      <c r="AR25" s="411">
        <v>342.9</v>
      </c>
      <c r="AS25" s="411">
        <v>362.25</v>
      </c>
      <c r="AT25" s="411">
        <v>368.7</v>
      </c>
      <c r="AU25" s="411">
        <v>392.5</v>
      </c>
    </row>
    <row r="26" spans="1:66">
      <c r="A26" s="385"/>
      <c r="B26" s="387"/>
      <c r="C26" s="89" t="str">
        <f>IF(ISBLANK(B26),"",INDEX('Liste des aliments'!$B$6:$B$966,MATCH(B26,'Liste des aliments'!$C$6:$C$966,0)))</f>
        <v/>
      </c>
      <c r="D26" s="138"/>
      <c r="E26" s="139"/>
      <c r="F26" s="13" t="str">
        <f>IF(ISBLANK($B26)," ",VLOOKUP($B26,'Liste des aliments'!$C$6:$W$966,'Liste des aliments'!D$1-2,FALSE))</f>
        <v xml:space="preserve"> </v>
      </c>
      <c r="G26" s="14" t="str">
        <f t="shared" si="1"/>
        <v xml:space="preserve"> </v>
      </c>
      <c r="H26" s="12" t="str">
        <f>IF(ISBLANK($B26)," ",VLOOKUP($B26,'Liste des aliments'!$C$6:$W$966,3,FALSE))</f>
        <v xml:space="preserve"> </v>
      </c>
      <c r="I26" s="12" t="str">
        <f>IF(ISBLANK($B26)," ",VLOOKUP($B26,'Liste des aliments'!$C$6:$W$966,5,FALSE))</f>
        <v xml:space="preserve"> </v>
      </c>
      <c r="J26" s="12" t="str">
        <f>IF(ISBLANK($B26)," ",VLOOKUP($B26,'Liste des aliments'!$C$6:$W$966,6,FALSE))</f>
        <v xml:space="preserve"> </v>
      </c>
      <c r="K26" s="14" t="str">
        <f>IF(ISBLANK($B26)," ",VLOOKUP($B26,'Liste des aliments'!$C$6:$W$966,7,FALSE))</f>
        <v xml:space="preserve"> </v>
      </c>
      <c r="L26" s="12" t="str">
        <f>IF(ISBLANK($B26)," ",VLOOKUP($B26,'Liste des aliments'!$C$6:$W$966,9,FALSE))</f>
        <v xml:space="preserve"> </v>
      </c>
      <c r="M26" s="12" t="str">
        <f>IF(ISBLANK($B26)," ",VLOOKUP($B26,'Liste des aliments'!$C$6:$W$966,10,FALSE))</f>
        <v xml:space="preserve"> </v>
      </c>
      <c r="N26" s="12" t="str">
        <f>IF(ISBLANK($B26)," ",VLOOKUP($B26,'Liste des aliments'!$C$6:$W$966,11,FALSE))</f>
        <v xml:space="preserve"> </v>
      </c>
      <c r="O26" s="13" t="str">
        <f>IF(ISBLANK($B26)," ",VLOOKUP($B26,'Liste des aliments'!$C$6:$W$966,12,FALSE))</f>
        <v xml:space="preserve"> </v>
      </c>
      <c r="P26" s="13" t="str">
        <f>IF(ISBLANK($B26)," ",VLOOKUP($B26,'Liste des aliments'!$C$6:$W$966,13,FALSE))</f>
        <v xml:space="preserve"> </v>
      </c>
      <c r="Q26" s="12" t="str">
        <f>IF(ISBLANK($B26)," ",VLOOKUP($B26,'Liste des aliments'!$C$6:$W$966,14,FALSE))</f>
        <v xml:space="preserve"> </v>
      </c>
      <c r="R26" s="12" t="str">
        <f>IF(ISBLANK($B26)," ",VLOOKUP($B26,'Liste des aliments'!$C$6:$W$966,15,FALSE))</f>
        <v xml:space="preserve"> </v>
      </c>
      <c r="S26" s="12" t="str">
        <f>IF(ISBLANK($B26)," ",VLOOKUP($B26,'Liste des aliments'!$C$6:$W$966,16,FALSE))</f>
        <v xml:space="preserve"> </v>
      </c>
      <c r="T26" s="12" t="str">
        <f>IF(ISBLANK($B26)," ",VLOOKUP($B26,'Liste des aliments'!$C$6:$W$966,17,FALSE))</f>
        <v xml:space="preserve"> </v>
      </c>
      <c r="U26" s="12" t="str">
        <f>IF(ISBLANK($B26)," ",VLOOKUP($B26,'Liste des aliments'!$C$6:$W$966,18,FALSE))</f>
        <v xml:space="preserve"> </v>
      </c>
      <c r="V26" s="12" t="str">
        <f>IF(ISBLANK($B26)," ",VLOOKUP($B26,'Liste des aliments'!$C$6:$W$966,20,FALSE))</f>
        <v xml:space="preserve"> </v>
      </c>
      <c r="W26" s="107"/>
      <c r="AD26" s="411">
        <v>210</v>
      </c>
      <c r="AE26" s="416">
        <v>3.0754000000000001</v>
      </c>
      <c r="AF26" s="416">
        <v>3.2926999999999995</v>
      </c>
      <c r="AG26" s="416">
        <v>3.3818000000000001</v>
      </c>
      <c r="AH26" s="416">
        <v>3.4836999999999998</v>
      </c>
      <c r="AI26" s="416">
        <v>3.6894000000000005</v>
      </c>
      <c r="AJ26" s="416">
        <v>3.7498000000000005</v>
      </c>
      <c r="AK26" s="416">
        <v>4.0331999999999999</v>
      </c>
      <c r="AN26" s="411">
        <v>210</v>
      </c>
      <c r="AO26" s="411">
        <v>298.87439999999998</v>
      </c>
      <c r="AP26" s="411">
        <v>325.39999999999998</v>
      </c>
      <c r="AQ26" s="411">
        <v>337.4</v>
      </c>
      <c r="AR26" s="411">
        <v>350.3</v>
      </c>
      <c r="AS26" s="411">
        <v>369.65000000000003</v>
      </c>
      <c r="AT26" s="411">
        <v>376.09999999999997</v>
      </c>
      <c r="AU26" s="411">
        <v>399.8</v>
      </c>
    </row>
    <row r="27" spans="1:66">
      <c r="A27" s="385"/>
      <c r="B27" s="387"/>
      <c r="C27" s="89" t="str">
        <f>IF(ISBLANK(B27),"",INDEX('Liste des aliments'!$B$6:$B$966,MATCH(B27,'Liste des aliments'!$C$6:$C$966,0)))</f>
        <v/>
      </c>
      <c r="D27" s="138"/>
      <c r="E27" s="139"/>
      <c r="F27" s="13" t="str">
        <f>IF(ISBLANK($B27)," ",VLOOKUP($B27,'Liste des aliments'!$C$6:$W$966,'Liste des aliments'!D$1-2,FALSE))</f>
        <v xml:space="preserve"> </v>
      </c>
      <c r="G27" s="14" t="str">
        <f t="shared" si="1"/>
        <v xml:space="preserve"> </v>
      </c>
      <c r="H27" s="12" t="str">
        <f>IF(ISBLANK($B27)," ",VLOOKUP($B27,'Liste des aliments'!$C$6:$W$966,3,FALSE))</f>
        <v xml:space="preserve"> </v>
      </c>
      <c r="I27" s="12" t="str">
        <f>IF(ISBLANK($B27)," ",VLOOKUP($B27,'Liste des aliments'!$C$6:$W$966,5,FALSE))</f>
        <v xml:space="preserve"> </v>
      </c>
      <c r="J27" s="12" t="str">
        <f>IF(ISBLANK($B27)," ",VLOOKUP($B27,'Liste des aliments'!$C$6:$W$966,6,FALSE))</f>
        <v xml:space="preserve"> </v>
      </c>
      <c r="K27" s="14" t="str">
        <f>IF(ISBLANK($B27)," ",VLOOKUP($B27,'Liste des aliments'!$C$6:$W$966,7,FALSE))</f>
        <v xml:space="preserve"> </v>
      </c>
      <c r="L27" s="12" t="str">
        <f>IF(ISBLANK($B27)," ",VLOOKUP($B27,'Liste des aliments'!$C$6:$W$966,9,FALSE))</f>
        <v xml:space="preserve"> </v>
      </c>
      <c r="M27" s="12" t="str">
        <f>IF(ISBLANK($B27)," ",VLOOKUP($B27,'Liste des aliments'!$C$6:$W$966,10,FALSE))</f>
        <v xml:space="preserve"> </v>
      </c>
      <c r="N27" s="12" t="str">
        <f>IF(ISBLANK($B27)," ",VLOOKUP($B27,'Liste des aliments'!$C$6:$W$966,11,FALSE))</f>
        <v xml:space="preserve"> </v>
      </c>
      <c r="O27" s="13" t="str">
        <f>IF(ISBLANK($B27)," ",VLOOKUP($B27,'Liste des aliments'!$C$6:$W$966,12,FALSE))</f>
        <v xml:space="preserve"> </v>
      </c>
      <c r="P27" s="13" t="str">
        <f>IF(ISBLANK($B27)," ",VLOOKUP($B27,'Liste des aliments'!$C$6:$W$966,13,FALSE))</f>
        <v xml:space="preserve"> </v>
      </c>
      <c r="Q27" s="12" t="str">
        <f>IF(ISBLANK($B27)," ",VLOOKUP($B27,'Liste des aliments'!$C$6:$W$966,14,FALSE))</f>
        <v xml:space="preserve"> </v>
      </c>
      <c r="R27" s="12" t="str">
        <f>IF(ISBLANK($B27)," ",VLOOKUP($B27,'Liste des aliments'!$C$6:$W$966,15,FALSE))</f>
        <v xml:space="preserve"> </v>
      </c>
      <c r="S27" s="12" t="str">
        <f>IF(ISBLANK($B27)," ",VLOOKUP($B27,'Liste des aliments'!$C$6:$W$966,16,FALSE))</f>
        <v xml:space="preserve"> </v>
      </c>
      <c r="T27" s="12" t="str">
        <f>IF(ISBLANK($B27)," ",VLOOKUP($B27,'Liste des aliments'!$C$6:$W$966,17,FALSE))</f>
        <v xml:space="preserve"> </v>
      </c>
      <c r="U27" s="12" t="str">
        <f>IF(ISBLANK($B27)," ",VLOOKUP($B27,'Liste des aliments'!$C$6:$W$966,18,FALSE))</f>
        <v xml:space="preserve"> </v>
      </c>
      <c r="V27" s="12" t="str">
        <f>IF(ISBLANK($B27)," ",VLOOKUP($B27,'Liste des aliments'!$C$6:$W$966,20,FALSE))</f>
        <v xml:space="preserve"> </v>
      </c>
      <c r="W27" s="107"/>
      <c r="AD27" s="411">
        <v>220</v>
      </c>
      <c r="AE27" s="416">
        <v>3.1859000000000002</v>
      </c>
      <c r="AF27" s="416">
        <v>3.4084999999999996</v>
      </c>
      <c r="AG27" s="416">
        <v>3.4985999999999997</v>
      </c>
      <c r="AH27" s="416">
        <v>3.6014999999999997</v>
      </c>
      <c r="AI27" s="416">
        <v>3.8135000000000003</v>
      </c>
      <c r="AJ27" s="416">
        <v>3.8749000000000002</v>
      </c>
      <c r="AK27" s="416">
        <v>4.1665999999999999</v>
      </c>
      <c r="AN27" s="411">
        <v>220</v>
      </c>
      <c r="AO27" s="411">
        <v>306.52679999999998</v>
      </c>
      <c r="AP27" s="411">
        <v>332.79999999999995</v>
      </c>
      <c r="AQ27" s="411">
        <v>344.8</v>
      </c>
      <c r="AR27" s="411">
        <v>357.7</v>
      </c>
      <c r="AS27" s="411">
        <v>377.05</v>
      </c>
      <c r="AT27" s="411">
        <v>383.5</v>
      </c>
      <c r="AU27" s="411">
        <v>407.1</v>
      </c>
    </row>
    <row r="28" spans="1:66">
      <c r="A28" s="385"/>
      <c r="B28" s="387"/>
      <c r="C28" s="89" t="str">
        <f>IF(ISBLANK(B28),"",INDEX('Liste des aliments'!$B$6:$B$966,MATCH(B28,'Liste des aliments'!$C$6:$C$966,0)))</f>
        <v/>
      </c>
      <c r="D28" s="138"/>
      <c r="E28" s="139"/>
      <c r="F28" s="13" t="str">
        <f>IF(ISBLANK($B28)," ",VLOOKUP($B28,'Liste des aliments'!$C$6:$W$966,'Liste des aliments'!D$1-2,FALSE))</f>
        <v xml:space="preserve"> </v>
      </c>
      <c r="G28" s="14" t="str">
        <f t="shared" si="1"/>
        <v xml:space="preserve"> </v>
      </c>
      <c r="H28" s="12" t="str">
        <f>IF(ISBLANK($B28)," ",VLOOKUP($B28,'Liste des aliments'!$C$6:$W$966,3,FALSE))</f>
        <v xml:space="preserve"> </v>
      </c>
      <c r="I28" s="12" t="str">
        <f>IF(ISBLANK($B28)," ",VLOOKUP($B28,'Liste des aliments'!$C$6:$W$966,5,FALSE))</f>
        <v xml:space="preserve"> </v>
      </c>
      <c r="J28" s="12" t="str">
        <f>IF(ISBLANK($B28)," ",VLOOKUP($B28,'Liste des aliments'!$C$6:$W$966,6,FALSE))</f>
        <v xml:space="preserve"> </v>
      </c>
      <c r="K28" s="14" t="str">
        <f>IF(ISBLANK($B28)," ",VLOOKUP($B28,'Liste des aliments'!$C$6:$W$966,7,FALSE))</f>
        <v xml:space="preserve"> </v>
      </c>
      <c r="L28" s="12" t="str">
        <f>IF(ISBLANK($B28)," ",VLOOKUP($B28,'Liste des aliments'!$C$6:$W$966,9,FALSE))</f>
        <v xml:space="preserve"> </v>
      </c>
      <c r="M28" s="12" t="str">
        <f>IF(ISBLANK($B28)," ",VLOOKUP($B28,'Liste des aliments'!$C$6:$W$966,10,FALSE))</f>
        <v xml:space="preserve"> </v>
      </c>
      <c r="N28" s="12" t="str">
        <f>IF(ISBLANK($B28)," ",VLOOKUP($B28,'Liste des aliments'!$C$6:$W$966,11,FALSE))</f>
        <v xml:space="preserve"> </v>
      </c>
      <c r="O28" s="13" t="str">
        <f>IF(ISBLANK($B28)," ",VLOOKUP($B28,'Liste des aliments'!$C$6:$W$966,12,FALSE))</f>
        <v xml:space="preserve"> </v>
      </c>
      <c r="P28" s="13" t="str">
        <f>IF(ISBLANK($B28)," ",VLOOKUP($B28,'Liste des aliments'!$C$6:$W$966,13,FALSE))</f>
        <v xml:space="preserve"> </v>
      </c>
      <c r="Q28" s="12" t="str">
        <f>IF(ISBLANK($B28)," ",VLOOKUP($B28,'Liste des aliments'!$C$6:$W$966,14,FALSE))</f>
        <v xml:space="preserve"> </v>
      </c>
      <c r="R28" s="12" t="str">
        <f>IF(ISBLANK($B28)," ",VLOOKUP($B28,'Liste des aliments'!$C$6:$W$966,15,FALSE))</f>
        <v xml:space="preserve"> </v>
      </c>
      <c r="S28" s="12" t="str">
        <f>IF(ISBLANK($B28)," ",VLOOKUP($B28,'Liste des aliments'!$C$6:$W$966,16,FALSE))</f>
        <v xml:space="preserve"> </v>
      </c>
      <c r="T28" s="12" t="str">
        <f>IF(ISBLANK($B28)," ",VLOOKUP($B28,'Liste des aliments'!$C$6:$W$966,17,FALSE))</f>
        <v xml:space="preserve"> </v>
      </c>
      <c r="U28" s="12" t="str">
        <f>IF(ISBLANK($B28)," ",VLOOKUP($B28,'Liste des aliments'!$C$6:$W$966,18,FALSE))</f>
        <v xml:space="preserve"> </v>
      </c>
      <c r="V28" s="12" t="str">
        <f>IF(ISBLANK($B28)," ",VLOOKUP($B28,'Liste des aliments'!$C$6:$W$966,20,FALSE))</f>
        <v xml:space="preserve"> </v>
      </c>
      <c r="W28" s="107"/>
      <c r="AD28" s="411">
        <v>230</v>
      </c>
      <c r="AE28" s="416">
        <v>3.2953999999999999</v>
      </c>
      <c r="AF28" s="416">
        <v>3.5234999999999999</v>
      </c>
      <c r="AG28" s="416">
        <v>3.6146000000000003</v>
      </c>
      <c r="AH28" s="416">
        <v>3.7185000000000001</v>
      </c>
      <c r="AI28" s="416">
        <v>3.9370000000000003</v>
      </c>
      <c r="AJ28" s="416">
        <v>3.9993999999999996</v>
      </c>
      <c r="AK28" s="416">
        <v>4.2995999999999999</v>
      </c>
      <c r="AN28" s="411">
        <v>230</v>
      </c>
      <c r="AO28" s="411">
        <v>314.17919999999998</v>
      </c>
      <c r="AP28" s="411">
        <v>340.2</v>
      </c>
      <c r="AQ28" s="411">
        <v>352.2</v>
      </c>
      <c r="AR28" s="411">
        <v>365.09999999999997</v>
      </c>
      <c r="AS28" s="411">
        <v>384.45</v>
      </c>
      <c r="AT28" s="411">
        <v>390.9</v>
      </c>
      <c r="AU28" s="411">
        <v>414.4</v>
      </c>
    </row>
    <row r="29" spans="1:66">
      <c r="A29" s="385"/>
      <c r="B29" s="387"/>
      <c r="C29" s="89" t="str">
        <f>IF(ISBLANK(B29),"",INDEX('Liste des aliments'!$B$6:$B$966,MATCH(B29,'Liste des aliments'!$C$6:$C$966,0)))</f>
        <v/>
      </c>
      <c r="D29" s="138"/>
      <c r="E29" s="139"/>
      <c r="F29" s="13" t="str">
        <f>IF(ISBLANK($B29)," ",VLOOKUP($B29,'Liste des aliments'!$C$6:$W$966,'Liste des aliments'!D$1-2,FALSE))</f>
        <v xml:space="preserve"> </v>
      </c>
      <c r="G29" s="14" t="str">
        <f t="shared" si="1"/>
        <v xml:space="preserve"> </v>
      </c>
      <c r="H29" s="12" t="str">
        <f>IF(ISBLANK($B29)," ",VLOOKUP($B29,'Liste des aliments'!$C$6:$W$966,3,FALSE))</f>
        <v xml:space="preserve"> </v>
      </c>
      <c r="I29" s="12" t="str">
        <f>IF(ISBLANK($B29)," ",VLOOKUP($B29,'Liste des aliments'!$C$6:$W$966,5,FALSE))</f>
        <v xml:space="preserve"> </v>
      </c>
      <c r="J29" s="12" t="str">
        <f>IF(ISBLANK($B29)," ",VLOOKUP($B29,'Liste des aliments'!$C$6:$W$966,6,FALSE))</f>
        <v xml:space="preserve"> </v>
      </c>
      <c r="K29" s="14" t="str">
        <f>IF(ISBLANK($B29)," ",VLOOKUP($B29,'Liste des aliments'!$C$6:$W$966,7,FALSE))</f>
        <v xml:space="preserve"> </v>
      </c>
      <c r="L29" s="12" t="str">
        <f>IF(ISBLANK($B29)," ",VLOOKUP($B29,'Liste des aliments'!$C$6:$W$966,9,FALSE))</f>
        <v xml:space="preserve"> </v>
      </c>
      <c r="M29" s="12" t="str">
        <f>IF(ISBLANK($B29)," ",VLOOKUP($B29,'Liste des aliments'!$C$6:$W$966,10,FALSE))</f>
        <v xml:space="preserve"> </v>
      </c>
      <c r="N29" s="12" t="str">
        <f>IF(ISBLANK($B29)," ",VLOOKUP($B29,'Liste des aliments'!$C$6:$W$966,11,FALSE))</f>
        <v xml:space="preserve"> </v>
      </c>
      <c r="O29" s="13" t="str">
        <f>IF(ISBLANK($B29)," ",VLOOKUP($B29,'Liste des aliments'!$C$6:$W$966,12,FALSE))</f>
        <v xml:space="preserve"> </v>
      </c>
      <c r="P29" s="13" t="str">
        <f>IF(ISBLANK($B29)," ",VLOOKUP($B29,'Liste des aliments'!$C$6:$W$966,13,FALSE))</f>
        <v xml:space="preserve"> </v>
      </c>
      <c r="Q29" s="12" t="str">
        <f>IF(ISBLANK($B29)," ",VLOOKUP($B29,'Liste des aliments'!$C$6:$W$966,14,FALSE))</f>
        <v xml:space="preserve"> </v>
      </c>
      <c r="R29" s="12" t="str">
        <f>IF(ISBLANK($B29)," ",VLOOKUP($B29,'Liste des aliments'!$C$6:$W$966,15,FALSE))</f>
        <v xml:space="preserve"> </v>
      </c>
      <c r="S29" s="12" t="str">
        <f>IF(ISBLANK($B29)," ",VLOOKUP($B29,'Liste des aliments'!$C$6:$W$966,16,FALSE))</f>
        <v xml:space="preserve"> </v>
      </c>
      <c r="T29" s="12" t="str">
        <f>IF(ISBLANK($B29)," ",VLOOKUP($B29,'Liste des aliments'!$C$6:$W$966,17,FALSE))</f>
        <v xml:space="preserve"> </v>
      </c>
      <c r="U29" s="12" t="str">
        <f>IF(ISBLANK($B29)," ",VLOOKUP($B29,'Liste des aliments'!$C$6:$W$966,18,FALSE))</f>
        <v xml:space="preserve"> </v>
      </c>
      <c r="V29" s="12" t="str">
        <f>IF(ISBLANK($B29)," ",VLOOKUP($B29,'Liste des aliments'!$C$6:$W$966,20,FALSE))</f>
        <v xml:space="preserve"> </v>
      </c>
      <c r="W29" s="107"/>
      <c r="AD29" s="411">
        <v>240</v>
      </c>
      <c r="AE29" s="416">
        <v>3.4039000000000001</v>
      </c>
      <c r="AF29" s="416">
        <v>3.6376999999999997</v>
      </c>
      <c r="AG29" s="416">
        <v>3.7298</v>
      </c>
      <c r="AH29" s="416">
        <v>3.8346999999999998</v>
      </c>
      <c r="AI29" s="416">
        <v>4.0598999999999998</v>
      </c>
      <c r="AJ29" s="416">
        <v>4.1232999999999995</v>
      </c>
      <c r="AK29" s="416">
        <v>4.4321999999999999</v>
      </c>
      <c r="AN29" s="411">
        <v>240</v>
      </c>
      <c r="AO29" s="411">
        <v>321.83159999999998</v>
      </c>
      <c r="AP29" s="411">
        <v>347.6</v>
      </c>
      <c r="AQ29" s="411">
        <v>359.6</v>
      </c>
      <c r="AR29" s="411">
        <v>372.5</v>
      </c>
      <c r="AS29" s="411">
        <v>391.85</v>
      </c>
      <c r="AT29" s="411">
        <v>398.3</v>
      </c>
      <c r="AU29" s="411">
        <v>421.70000000000005</v>
      </c>
    </row>
    <row r="30" spans="1:66">
      <c r="A30" s="385"/>
      <c r="B30" s="387"/>
      <c r="C30" s="89" t="str">
        <f>IF(ISBLANK(B30),"",INDEX('Liste des aliments'!$B$6:$B$966,MATCH(B30,'Liste des aliments'!$C$6:$C$966,0)))</f>
        <v/>
      </c>
      <c r="D30" s="138"/>
      <c r="E30" s="139"/>
      <c r="F30" s="13" t="str">
        <f>IF(ISBLANK($B30)," ",VLOOKUP($B30,'Liste des aliments'!$C$6:$W$966,'Liste des aliments'!D$1-2,FALSE))</f>
        <v xml:space="preserve"> </v>
      </c>
      <c r="G30" s="14" t="str">
        <f t="shared" si="1"/>
        <v xml:space="preserve"> </v>
      </c>
      <c r="H30" s="12" t="str">
        <f>IF(ISBLANK($B30)," ",VLOOKUP($B30,'Liste des aliments'!$C$6:$W$966,3,FALSE))</f>
        <v xml:space="preserve"> </v>
      </c>
      <c r="I30" s="12" t="str">
        <f>IF(ISBLANK($B30)," ",VLOOKUP($B30,'Liste des aliments'!$C$6:$W$966,5,FALSE))</f>
        <v xml:space="preserve"> </v>
      </c>
      <c r="J30" s="12" t="str">
        <f>IF(ISBLANK($B30)," ",VLOOKUP($B30,'Liste des aliments'!$C$6:$W$966,6,FALSE))</f>
        <v xml:space="preserve"> </v>
      </c>
      <c r="K30" s="14" t="str">
        <f>IF(ISBLANK($B30)," ",VLOOKUP($B30,'Liste des aliments'!$C$6:$W$966,7,FALSE))</f>
        <v xml:space="preserve"> </v>
      </c>
      <c r="L30" s="12" t="str">
        <f>IF(ISBLANK($B30)," ",VLOOKUP($B30,'Liste des aliments'!$C$6:$W$966,9,FALSE))</f>
        <v xml:space="preserve"> </v>
      </c>
      <c r="M30" s="12" t="str">
        <f>IF(ISBLANK($B30)," ",VLOOKUP($B30,'Liste des aliments'!$C$6:$W$966,10,FALSE))</f>
        <v xml:space="preserve"> </v>
      </c>
      <c r="N30" s="12" t="str">
        <f>IF(ISBLANK($B30)," ",VLOOKUP($B30,'Liste des aliments'!$C$6:$W$966,11,FALSE))</f>
        <v xml:space="preserve"> </v>
      </c>
      <c r="O30" s="13" t="str">
        <f>IF(ISBLANK($B30)," ",VLOOKUP($B30,'Liste des aliments'!$C$6:$W$966,12,FALSE))</f>
        <v xml:space="preserve"> </v>
      </c>
      <c r="P30" s="13" t="str">
        <f>IF(ISBLANK($B30)," ",VLOOKUP($B30,'Liste des aliments'!$C$6:$W$966,13,FALSE))</f>
        <v xml:space="preserve"> </v>
      </c>
      <c r="Q30" s="12" t="str">
        <f>IF(ISBLANK($B30)," ",VLOOKUP($B30,'Liste des aliments'!$C$6:$W$966,14,FALSE))</f>
        <v xml:space="preserve"> </v>
      </c>
      <c r="R30" s="12" t="str">
        <f>IF(ISBLANK($B30)," ",VLOOKUP($B30,'Liste des aliments'!$C$6:$W$966,15,FALSE))</f>
        <v xml:space="preserve"> </v>
      </c>
      <c r="S30" s="12" t="str">
        <f>IF(ISBLANK($B30)," ",VLOOKUP($B30,'Liste des aliments'!$C$6:$W$966,16,FALSE))</f>
        <v xml:space="preserve"> </v>
      </c>
      <c r="T30" s="12" t="str">
        <f>IF(ISBLANK($B30)," ",VLOOKUP($B30,'Liste des aliments'!$C$6:$W$966,17,FALSE))</f>
        <v xml:space="preserve"> </v>
      </c>
      <c r="U30" s="12" t="str">
        <f>IF(ISBLANK($B30)," ",VLOOKUP($B30,'Liste des aliments'!$C$6:$W$966,18,FALSE))</f>
        <v xml:space="preserve"> </v>
      </c>
      <c r="V30" s="12" t="str">
        <f>IF(ISBLANK($B30)," ",VLOOKUP($B30,'Liste des aliments'!$C$6:$W$966,20,FALSE))</f>
        <v xml:space="preserve"> </v>
      </c>
      <c r="W30" s="107"/>
      <c r="AD30" s="411">
        <v>250</v>
      </c>
      <c r="AE30" s="416">
        <v>3.5114000000000001</v>
      </c>
      <c r="AF30" s="416">
        <v>3.7510999999999997</v>
      </c>
      <c r="AG30" s="416">
        <v>3.8441999999999998</v>
      </c>
      <c r="AH30" s="416">
        <v>3.9500999999999999</v>
      </c>
      <c r="AI30" s="416">
        <v>4.1821999999999999</v>
      </c>
      <c r="AJ30" s="416">
        <v>4.2465999999999999</v>
      </c>
      <c r="AK30" s="416">
        <v>4.5644</v>
      </c>
      <c r="AN30" s="411">
        <v>250</v>
      </c>
      <c r="AO30" s="411">
        <v>329.48399999999998</v>
      </c>
      <c r="AP30" s="411">
        <v>355</v>
      </c>
      <c r="AQ30" s="411">
        <v>367</v>
      </c>
      <c r="AR30" s="411">
        <v>379.9</v>
      </c>
      <c r="AS30" s="411">
        <v>399.25</v>
      </c>
      <c r="AT30" s="411">
        <v>405.7</v>
      </c>
      <c r="AU30" s="411">
        <v>429</v>
      </c>
    </row>
    <row r="31" spans="1:66">
      <c r="A31" s="385"/>
      <c r="B31" s="387"/>
      <c r="C31" s="89" t="str">
        <f>IF(ISBLANK(B31),"",INDEX('Liste des aliments'!$B$6:$B$966,MATCH(B31,'Liste des aliments'!$C$6:$C$966,0)))</f>
        <v/>
      </c>
      <c r="D31" s="138"/>
      <c r="E31" s="139"/>
      <c r="F31" s="13" t="str">
        <f>IF(ISBLANK($B31)," ",VLOOKUP($B31,'Liste des aliments'!$C$6:$W$966,'Liste des aliments'!D$1-2,FALSE))</f>
        <v xml:space="preserve"> </v>
      </c>
      <c r="G31" s="14" t="str">
        <f t="shared" si="1"/>
        <v xml:space="preserve"> </v>
      </c>
      <c r="H31" s="12" t="str">
        <f>IF(ISBLANK($B31)," ",VLOOKUP($B31,'Liste des aliments'!$C$6:$W$966,3,FALSE))</f>
        <v xml:space="preserve"> </v>
      </c>
      <c r="I31" s="12" t="str">
        <f>IF(ISBLANK($B31)," ",VLOOKUP($B31,'Liste des aliments'!$C$6:$W$966,5,FALSE))</f>
        <v xml:space="preserve"> </v>
      </c>
      <c r="J31" s="12" t="str">
        <f>IF(ISBLANK($B31)," ",VLOOKUP($B31,'Liste des aliments'!$C$6:$W$966,6,FALSE))</f>
        <v xml:space="preserve"> </v>
      </c>
      <c r="K31" s="14" t="str">
        <f>IF(ISBLANK($B31)," ",VLOOKUP($B31,'Liste des aliments'!$C$6:$W$966,7,FALSE))</f>
        <v xml:space="preserve"> </v>
      </c>
      <c r="L31" s="12" t="str">
        <f>IF(ISBLANK($B31)," ",VLOOKUP($B31,'Liste des aliments'!$C$6:$W$966,9,FALSE))</f>
        <v xml:space="preserve"> </v>
      </c>
      <c r="M31" s="12" t="str">
        <f>IF(ISBLANK($B31)," ",VLOOKUP($B31,'Liste des aliments'!$C$6:$W$966,10,FALSE))</f>
        <v xml:space="preserve"> </v>
      </c>
      <c r="N31" s="12" t="str">
        <f>IF(ISBLANK($B31)," ",VLOOKUP($B31,'Liste des aliments'!$C$6:$W$966,11,FALSE))</f>
        <v xml:space="preserve"> </v>
      </c>
      <c r="O31" s="13" t="str">
        <f>IF(ISBLANK($B31)," ",VLOOKUP($B31,'Liste des aliments'!$C$6:$W$966,12,FALSE))</f>
        <v xml:space="preserve"> </v>
      </c>
      <c r="P31" s="13" t="str">
        <f>IF(ISBLANK($B31)," ",VLOOKUP($B31,'Liste des aliments'!$C$6:$W$966,13,FALSE))</f>
        <v xml:space="preserve"> </v>
      </c>
      <c r="Q31" s="12" t="str">
        <f>IF(ISBLANK($B31)," ",VLOOKUP($B31,'Liste des aliments'!$C$6:$W$966,14,FALSE))</f>
        <v xml:space="preserve"> </v>
      </c>
      <c r="R31" s="12" t="str">
        <f>IF(ISBLANK($B31)," ",VLOOKUP($B31,'Liste des aliments'!$C$6:$W$966,15,FALSE))</f>
        <v xml:space="preserve"> </v>
      </c>
      <c r="S31" s="12" t="str">
        <f>IF(ISBLANK($B31)," ",VLOOKUP($B31,'Liste des aliments'!$C$6:$W$966,16,FALSE))</f>
        <v xml:space="preserve"> </v>
      </c>
      <c r="T31" s="12" t="str">
        <f>IF(ISBLANK($B31)," ",VLOOKUP($B31,'Liste des aliments'!$C$6:$W$966,17,FALSE))</f>
        <v xml:space="preserve"> </v>
      </c>
      <c r="U31" s="12" t="str">
        <f>IF(ISBLANK($B31)," ",VLOOKUP($B31,'Liste des aliments'!$C$6:$W$966,18,FALSE))</f>
        <v xml:space="preserve"> </v>
      </c>
      <c r="V31" s="12" t="str">
        <f>IF(ISBLANK($B31)," ",VLOOKUP($B31,'Liste des aliments'!$C$6:$W$966,20,FALSE))</f>
        <v xml:space="preserve"> </v>
      </c>
      <c r="W31" s="107"/>
      <c r="AD31" s="411">
        <v>260</v>
      </c>
      <c r="AE31" s="416">
        <v>3.6178999999999997</v>
      </c>
      <c r="AF31" s="416">
        <v>3.8636999999999997</v>
      </c>
      <c r="AG31" s="416">
        <v>3.9577999999999998</v>
      </c>
      <c r="AH31" s="416">
        <v>4.0647000000000002</v>
      </c>
      <c r="AI31" s="416">
        <v>4.3039000000000005</v>
      </c>
      <c r="AJ31" s="416">
        <v>4.3693</v>
      </c>
      <c r="AK31" s="416">
        <v>4.6962000000000002</v>
      </c>
      <c r="AN31" s="411">
        <v>260</v>
      </c>
      <c r="AO31" s="411">
        <v>336.54719999999998</v>
      </c>
      <c r="AP31" s="411">
        <v>362.35</v>
      </c>
      <c r="AQ31" s="411">
        <v>374.40000000000003</v>
      </c>
      <c r="AR31" s="411">
        <v>387.24</v>
      </c>
      <c r="AS31" s="411">
        <v>406.50000000000006</v>
      </c>
      <c r="AT31" s="411">
        <v>412.92</v>
      </c>
      <c r="AU31" s="411">
        <v>436.1</v>
      </c>
    </row>
    <row r="32" spans="1:66">
      <c r="A32" s="385"/>
      <c r="B32" s="387"/>
      <c r="C32" s="89" t="str">
        <f>IF(ISBLANK(B32),"",INDEX('Liste des aliments'!$B$6:$B$966,MATCH(B32,'Liste des aliments'!$C$6:$C$966,0)))</f>
        <v/>
      </c>
      <c r="D32" s="138"/>
      <c r="E32" s="139"/>
      <c r="F32" s="13" t="str">
        <f>IF(ISBLANK($B32)," ",VLOOKUP($B32,'Liste des aliments'!$C$6:$W$966,'Liste des aliments'!D$1-2,FALSE))</f>
        <v xml:space="preserve"> </v>
      </c>
      <c r="G32" s="14" t="str">
        <f t="shared" si="1"/>
        <v xml:space="preserve"> </v>
      </c>
      <c r="H32" s="12" t="str">
        <f>IF(ISBLANK($B32)," ",VLOOKUP($B32,'Liste des aliments'!$C$6:$W$966,3,FALSE))</f>
        <v xml:space="preserve"> </v>
      </c>
      <c r="I32" s="12" t="str">
        <f>IF(ISBLANK($B32)," ",VLOOKUP($B32,'Liste des aliments'!$C$6:$W$966,5,FALSE))</f>
        <v xml:space="preserve"> </v>
      </c>
      <c r="J32" s="12" t="str">
        <f>IF(ISBLANK($B32)," ",VLOOKUP($B32,'Liste des aliments'!$C$6:$W$966,6,FALSE))</f>
        <v xml:space="preserve"> </v>
      </c>
      <c r="K32" s="14" t="str">
        <f>IF(ISBLANK($B32)," ",VLOOKUP($B32,'Liste des aliments'!$C$6:$W$966,7,FALSE))</f>
        <v xml:space="preserve"> </v>
      </c>
      <c r="L32" s="12" t="str">
        <f>IF(ISBLANK($B32)," ",VLOOKUP($B32,'Liste des aliments'!$C$6:$W$966,9,FALSE))</f>
        <v xml:space="preserve"> </v>
      </c>
      <c r="M32" s="12" t="str">
        <f>IF(ISBLANK($B32)," ",VLOOKUP($B32,'Liste des aliments'!$C$6:$W$966,10,FALSE))</f>
        <v xml:space="preserve"> </v>
      </c>
      <c r="N32" s="12" t="str">
        <f>IF(ISBLANK($B32)," ",VLOOKUP($B32,'Liste des aliments'!$C$6:$W$966,11,FALSE))</f>
        <v xml:space="preserve"> </v>
      </c>
      <c r="O32" s="13" t="str">
        <f>IF(ISBLANK($B32)," ",VLOOKUP($B32,'Liste des aliments'!$C$6:$W$966,12,FALSE))</f>
        <v xml:space="preserve"> </v>
      </c>
      <c r="P32" s="13" t="str">
        <f>IF(ISBLANK($B32)," ",VLOOKUP($B32,'Liste des aliments'!$C$6:$W$966,13,FALSE))</f>
        <v xml:space="preserve"> </v>
      </c>
      <c r="Q32" s="12" t="str">
        <f>IF(ISBLANK($B32)," ",VLOOKUP($B32,'Liste des aliments'!$C$6:$W$966,14,FALSE))</f>
        <v xml:space="preserve"> </v>
      </c>
      <c r="R32" s="12" t="str">
        <f>IF(ISBLANK($B32)," ",VLOOKUP($B32,'Liste des aliments'!$C$6:$W$966,15,FALSE))</f>
        <v xml:space="preserve"> </v>
      </c>
      <c r="S32" s="12" t="str">
        <f>IF(ISBLANK($B32)," ",VLOOKUP($B32,'Liste des aliments'!$C$6:$W$966,16,FALSE))</f>
        <v xml:space="preserve"> </v>
      </c>
      <c r="T32" s="12" t="str">
        <f>IF(ISBLANK($B32)," ",VLOOKUP($B32,'Liste des aliments'!$C$6:$W$966,17,FALSE))</f>
        <v xml:space="preserve"> </v>
      </c>
      <c r="U32" s="12" t="str">
        <f>IF(ISBLANK($B32)," ",VLOOKUP($B32,'Liste des aliments'!$C$6:$W$966,18,FALSE))</f>
        <v xml:space="preserve"> </v>
      </c>
      <c r="V32" s="12" t="str">
        <f>IF(ISBLANK($B32)," ",VLOOKUP($B32,'Liste des aliments'!$C$6:$W$966,20,FALSE))</f>
        <v xml:space="preserve"> </v>
      </c>
      <c r="W32" s="107"/>
      <c r="AD32" s="411">
        <v>270</v>
      </c>
      <c r="AE32" s="416">
        <v>3.7233999999999998</v>
      </c>
      <c r="AF32" s="416">
        <v>3.9754999999999998</v>
      </c>
      <c r="AG32" s="416">
        <v>4.0706000000000007</v>
      </c>
      <c r="AH32" s="416">
        <v>4.1784999999999997</v>
      </c>
      <c r="AI32" s="416">
        <v>4.4249999999999998</v>
      </c>
      <c r="AJ32" s="416">
        <v>4.4913999999999996</v>
      </c>
      <c r="AK32" s="416">
        <v>4.8276000000000003</v>
      </c>
      <c r="AN32" s="411">
        <v>270</v>
      </c>
      <c r="AO32" s="411">
        <v>343.61040000000003</v>
      </c>
      <c r="AP32" s="411">
        <v>369.70000000000005</v>
      </c>
      <c r="AQ32" s="411">
        <v>381.8</v>
      </c>
      <c r="AR32" s="411">
        <v>394.57999999999993</v>
      </c>
      <c r="AS32" s="411">
        <v>413.75</v>
      </c>
      <c r="AT32" s="411">
        <v>420.14</v>
      </c>
      <c r="AU32" s="411">
        <v>443.2</v>
      </c>
    </row>
    <row r="33" spans="1:47">
      <c r="A33" s="385"/>
      <c r="B33" s="387"/>
      <c r="C33" s="89" t="str">
        <f>IF(ISBLANK(B33),"",INDEX('Liste des aliments'!$B$6:$B$966,MATCH(B33,'Liste des aliments'!$C$6:$C$966,0)))</f>
        <v/>
      </c>
      <c r="D33" s="138"/>
      <c r="E33" s="139"/>
      <c r="F33" s="13" t="str">
        <f>IF(ISBLANK($B33)," ",VLOOKUP($B33,'Liste des aliments'!$C$6:$W$966,'Liste des aliments'!D$1-2,FALSE))</f>
        <v xml:space="preserve"> </v>
      </c>
      <c r="G33" s="14" t="str">
        <f t="shared" si="1"/>
        <v xml:space="preserve"> </v>
      </c>
      <c r="H33" s="12" t="str">
        <f>IF(ISBLANK($B33)," ",VLOOKUP($B33,'Liste des aliments'!$C$6:$W$966,3,FALSE))</f>
        <v xml:space="preserve"> </v>
      </c>
      <c r="I33" s="12" t="str">
        <f>IF(ISBLANK($B33)," ",VLOOKUP($B33,'Liste des aliments'!$C$6:$W$966,5,FALSE))</f>
        <v xml:space="preserve"> </v>
      </c>
      <c r="J33" s="12" t="str">
        <f>IF(ISBLANK($B33)," ",VLOOKUP($B33,'Liste des aliments'!$C$6:$W$966,6,FALSE))</f>
        <v xml:space="preserve"> </v>
      </c>
      <c r="K33" s="14" t="str">
        <f>IF(ISBLANK($B33)," ",VLOOKUP($B33,'Liste des aliments'!$C$6:$W$966,7,FALSE))</f>
        <v xml:space="preserve"> </v>
      </c>
      <c r="L33" s="12" t="str">
        <f>IF(ISBLANK($B33)," ",VLOOKUP($B33,'Liste des aliments'!$C$6:$W$966,9,FALSE))</f>
        <v xml:space="preserve"> </v>
      </c>
      <c r="M33" s="12" t="str">
        <f>IF(ISBLANK($B33)," ",VLOOKUP($B33,'Liste des aliments'!$C$6:$W$966,10,FALSE))</f>
        <v xml:space="preserve"> </v>
      </c>
      <c r="N33" s="12" t="str">
        <f>IF(ISBLANK($B33)," ",VLOOKUP($B33,'Liste des aliments'!$C$6:$W$966,11,FALSE))</f>
        <v xml:space="preserve"> </v>
      </c>
      <c r="O33" s="13" t="str">
        <f>IF(ISBLANK($B33)," ",VLOOKUP($B33,'Liste des aliments'!$C$6:$W$966,12,FALSE))</f>
        <v xml:space="preserve"> </v>
      </c>
      <c r="P33" s="13" t="str">
        <f>IF(ISBLANK($B33)," ",VLOOKUP($B33,'Liste des aliments'!$C$6:$W$966,13,FALSE))</f>
        <v xml:space="preserve"> </v>
      </c>
      <c r="Q33" s="12" t="str">
        <f>IF(ISBLANK($B33)," ",VLOOKUP($B33,'Liste des aliments'!$C$6:$W$966,14,FALSE))</f>
        <v xml:space="preserve"> </v>
      </c>
      <c r="R33" s="12" t="str">
        <f>IF(ISBLANK($B33)," ",VLOOKUP($B33,'Liste des aliments'!$C$6:$W$966,15,FALSE))</f>
        <v xml:space="preserve"> </v>
      </c>
      <c r="S33" s="12" t="str">
        <f>IF(ISBLANK($B33)," ",VLOOKUP($B33,'Liste des aliments'!$C$6:$W$966,16,FALSE))</f>
        <v xml:space="preserve"> </v>
      </c>
      <c r="T33" s="12" t="str">
        <f>IF(ISBLANK($B33)," ",VLOOKUP($B33,'Liste des aliments'!$C$6:$W$966,17,FALSE))</f>
        <v xml:space="preserve"> </v>
      </c>
      <c r="U33" s="12" t="str">
        <f>IF(ISBLANK($B33)," ",VLOOKUP($B33,'Liste des aliments'!$C$6:$W$966,18,FALSE))</f>
        <v xml:space="preserve"> </v>
      </c>
      <c r="V33" s="12" t="str">
        <f>IF(ISBLANK($B33)," ",VLOOKUP($B33,'Liste des aliments'!$C$6:$W$966,20,FALSE))</f>
        <v xml:space="preserve"> </v>
      </c>
      <c r="W33" s="107"/>
      <c r="AD33" s="411">
        <v>280</v>
      </c>
      <c r="AE33" s="416">
        <v>3.8279000000000005</v>
      </c>
      <c r="AF33" s="416">
        <v>4.0865</v>
      </c>
      <c r="AG33" s="416">
        <v>4.1825999999999999</v>
      </c>
      <c r="AH33" s="416">
        <v>4.2914999999999992</v>
      </c>
      <c r="AI33" s="416">
        <v>4.5455000000000005</v>
      </c>
      <c r="AJ33" s="416">
        <v>4.6128999999999998</v>
      </c>
      <c r="AK33" s="416">
        <v>4.9586000000000006</v>
      </c>
      <c r="AN33" s="411">
        <v>280</v>
      </c>
      <c r="AO33" s="411">
        <v>350.67359999999996</v>
      </c>
      <c r="AP33" s="411">
        <v>377.04999999999995</v>
      </c>
      <c r="AQ33" s="411">
        <v>389.2</v>
      </c>
      <c r="AR33" s="411">
        <v>401.91999999999996</v>
      </c>
      <c r="AS33" s="411">
        <v>421</v>
      </c>
      <c r="AT33" s="411">
        <v>427.36</v>
      </c>
      <c r="AU33" s="411">
        <v>450.3</v>
      </c>
    </row>
    <row r="34" spans="1:47" ht="14.4" thickBot="1">
      <c r="A34" s="385"/>
      <c r="B34" s="388"/>
      <c r="C34" s="15" t="str">
        <f>IF(ISBLANK(B34),"",INDEX('Liste des aliments'!$B$6:$B$966,MATCH(B34,'Liste des aliments'!$C$6:$C$966,0)))</f>
        <v/>
      </c>
      <c r="D34" s="143"/>
      <c r="E34" s="144"/>
      <c r="F34" s="3" t="str">
        <f>IF(ISBLANK($B34)," ",VLOOKUP($B34,'Liste des aliments'!$C$6:$W$966,'Liste des aliments'!D$1-2,FALSE))</f>
        <v xml:space="preserve"> </v>
      </c>
      <c r="G34" s="10" t="str">
        <f t="shared" si="1"/>
        <v xml:space="preserve"> </v>
      </c>
      <c r="H34" s="4" t="str">
        <f>IF(ISBLANK($B34)," ",VLOOKUP($B34,'Liste des aliments'!$C$6:$W$966,3,FALSE))</f>
        <v xml:space="preserve"> </v>
      </c>
      <c r="I34" s="4" t="str">
        <f>IF(ISBLANK($B34)," ",VLOOKUP($B34,'Liste des aliments'!$C$6:$W$966,5,FALSE))</f>
        <v xml:space="preserve"> </v>
      </c>
      <c r="J34" s="4" t="str">
        <f>IF(ISBLANK($B34)," ",VLOOKUP($B34,'Liste des aliments'!$C$6:$W$966,6,FALSE))</f>
        <v xml:space="preserve"> </v>
      </c>
      <c r="K34" s="10" t="str">
        <f>IF(ISBLANK($B34)," ",VLOOKUP($B34,'Liste des aliments'!$C$6:$W$966,7,FALSE))</f>
        <v xml:space="preserve"> </v>
      </c>
      <c r="L34" s="4" t="str">
        <f>IF(ISBLANK($B34)," ",VLOOKUP($B34,'Liste des aliments'!$C$6:$W$966,9,FALSE))</f>
        <v xml:space="preserve"> </v>
      </c>
      <c r="M34" s="4" t="str">
        <f>IF(ISBLANK($B34)," ",VLOOKUP($B34,'Liste des aliments'!$C$6:$W$966,10,FALSE))</f>
        <v xml:space="preserve"> </v>
      </c>
      <c r="N34" s="4" t="str">
        <f>IF(ISBLANK($B34)," ",VLOOKUP($B34,'Liste des aliments'!$C$6:$W$966,11,FALSE))</f>
        <v xml:space="preserve"> </v>
      </c>
      <c r="O34" s="3" t="str">
        <f>IF(ISBLANK($B34)," ",VLOOKUP($B34,'Liste des aliments'!$C$6:$W$966,12,FALSE))</f>
        <v xml:space="preserve"> </v>
      </c>
      <c r="P34" s="3" t="str">
        <f>IF(ISBLANK($B34)," ",VLOOKUP($B34,'Liste des aliments'!$C$6:$W$966,13,FALSE))</f>
        <v xml:space="preserve"> </v>
      </c>
      <c r="Q34" s="4" t="str">
        <f>IF(ISBLANK($B34)," ",VLOOKUP($B34,'Liste des aliments'!$C$6:$W$966,14,FALSE))</f>
        <v xml:space="preserve"> </v>
      </c>
      <c r="R34" s="4" t="str">
        <f>IF(ISBLANK($B34)," ",VLOOKUP($B34,'Liste des aliments'!$C$6:$W$966,15,FALSE))</f>
        <v xml:space="preserve"> </v>
      </c>
      <c r="S34" s="4" t="str">
        <f>IF(ISBLANK($B34)," ",VLOOKUP($B34,'Liste des aliments'!$C$6:$W$966,16,FALSE))</f>
        <v xml:space="preserve"> </v>
      </c>
      <c r="T34" s="4" t="str">
        <f>IF(ISBLANK($B34)," ",VLOOKUP($B34,'Liste des aliments'!$C$6:$W$966,17,FALSE))</f>
        <v xml:space="preserve"> </v>
      </c>
      <c r="U34" s="4" t="str">
        <f>IF(ISBLANK($B34)," ",VLOOKUP($B34,'Liste des aliments'!$C$6:$W$966,18,FALSE))</f>
        <v xml:space="preserve"> </v>
      </c>
      <c r="V34" s="4" t="str">
        <f>IF(ISBLANK($B34)," ",VLOOKUP($B34,'Liste des aliments'!$C$6:$W$966,20,FALSE))</f>
        <v xml:space="preserve"> </v>
      </c>
      <c r="W34" s="108"/>
      <c r="AD34" s="411">
        <v>290</v>
      </c>
      <c r="AE34" s="416">
        <v>3.9314</v>
      </c>
      <c r="AF34" s="416">
        <v>4.1966999999999999</v>
      </c>
      <c r="AG34" s="416">
        <v>4.2938000000000001</v>
      </c>
      <c r="AH34" s="416">
        <v>4.4037000000000006</v>
      </c>
      <c r="AI34" s="416">
        <v>4.6654</v>
      </c>
      <c r="AJ34" s="416">
        <v>4.7337999999999996</v>
      </c>
      <c r="AK34" s="416">
        <v>5.0891999999999999</v>
      </c>
      <c r="AN34" s="411">
        <v>290</v>
      </c>
      <c r="AO34" s="411">
        <v>357.73680000000002</v>
      </c>
      <c r="AP34" s="411">
        <v>384.40000000000003</v>
      </c>
      <c r="AQ34" s="411">
        <v>396.6</v>
      </c>
      <c r="AR34" s="411">
        <v>409.26</v>
      </c>
      <c r="AS34" s="411">
        <v>428.25000000000006</v>
      </c>
      <c r="AT34" s="411">
        <v>434.58000000000004</v>
      </c>
      <c r="AU34" s="411">
        <v>457.40000000000003</v>
      </c>
    </row>
    <row r="35" spans="1:47">
      <c r="AD35" s="411">
        <v>300</v>
      </c>
      <c r="AE35" s="416">
        <v>4.0339</v>
      </c>
      <c r="AF35" s="416">
        <v>4.3060999999999998</v>
      </c>
      <c r="AG35" s="416">
        <v>4.4042000000000003</v>
      </c>
      <c r="AH35" s="416">
        <v>4.5151000000000003</v>
      </c>
      <c r="AI35" s="416">
        <v>4.7847</v>
      </c>
      <c r="AJ35" s="416">
        <v>4.8540999999999999</v>
      </c>
      <c r="AK35" s="416">
        <v>5.2194000000000011</v>
      </c>
      <c r="AN35" s="411">
        <v>300</v>
      </c>
      <c r="AO35" s="411">
        <v>364.8</v>
      </c>
      <c r="AP35" s="411">
        <v>391.75</v>
      </c>
      <c r="AQ35" s="411">
        <v>404</v>
      </c>
      <c r="AR35" s="411">
        <v>416.59999999999991</v>
      </c>
      <c r="AS35" s="411">
        <v>435.5</v>
      </c>
      <c r="AT35" s="411">
        <v>441.80000000000007</v>
      </c>
      <c r="AU35" s="411">
        <v>464.5</v>
      </c>
    </row>
    <row r="36" spans="1:47" ht="16.2" thickBot="1">
      <c r="B36" s="11" t="s">
        <v>195</v>
      </c>
      <c r="C36" s="1"/>
      <c r="D36" s="1"/>
      <c r="E36" s="1"/>
      <c r="F36" s="1"/>
      <c r="G36" s="1"/>
      <c r="H36" s="1"/>
      <c r="I36" s="1"/>
      <c r="J36" s="1"/>
      <c r="K36" s="1"/>
      <c r="L36" s="1"/>
      <c r="M36" s="1"/>
      <c r="N36" s="1"/>
      <c r="O36" s="1"/>
      <c r="P36" s="1"/>
      <c r="Q36" s="1"/>
      <c r="R36" s="776" t="s">
        <v>196</v>
      </c>
      <c r="S36" s="776"/>
      <c r="T36" s="776"/>
      <c r="U36" s="776"/>
      <c r="V36" s="43"/>
      <c r="W36" s="1"/>
      <c r="AD36" s="411">
        <v>310</v>
      </c>
      <c r="AE36" s="416">
        <v>4.1353999999999997</v>
      </c>
      <c r="AF36" s="416">
        <v>4.4147000000000007</v>
      </c>
      <c r="AG36" s="416">
        <v>4.5137999999999998</v>
      </c>
      <c r="AH36" s="416">
        <v>4.6257000000000001</v>
      </c>
      <c r="AI36" s="416">
        <v>4.9033999999999995</v>
      </c>
      <c r="AJ36" s="416">
        <v>4.9737999999999998</v>
      </c>
      <c r="AK36" s="416">
        <v>5.3492000000000006</v>
      </c>
      <c r="AN36" s="411">
        <v>310</v>
      </c>
      <c r="AO36" s="411">
        <v>372.04</v>
      </c>
      <c r="AP36" s="411">
        <v>399.1</v>
      </c>
      <c r="AQ36" s="411">
        <v>411.40000000000003</v>
      </c>
      <c r="AR36" s="411">
        <v>423.93999999999994</v>
      </c>
      <c r="AS36" s="411">
        <v>442.75000000000006</v>
      </c>
      <c r="AT36" s="411">
        <v>449.0200000000001</v>
      </c>
      <c r="AU36" s="411">
        <v>471.40000000000003</v>
      </c>
    </row>
    <row r="37" spans="1:47" ht="14.4" thickBot="1">
      <c r="B37" s="2"/>
      <c r="C37" s="1"/>
      <c r="D37" s="59" t="s">
        <v>188</v>
      </c>
      <c r="E37" s="60" t="s">
        <v>197</v>
      </c>
      <c r="F37" s="60"/>
      <c r="G37" s="60" t="s">
        <v>191</v>
      </c>
      <c r="H37" s="60" t="s">
        <v>42</v>
      </c>
      <c r="I37" s="60" t="s">
        <v>44</v>
      </c>
      <c r="J37" s="60" t="s">
        <v>45</v>
      </c>
      <c r="K37" s="60" t="s">
        <v>46</v>
      </c>
      <c r="L37" s="60" t="s">
        <v>48</v>
      </c>
      <c r="M37" s="60" t="s">
        <v>49</v>
      </c>
      <c r="N37" s="60" t="s">
        <v>50</v>
      </c>
      <c r="O37" s="60" t="s">
        <v>51</v>
      </c>
      <c r="P37" s="60" t="s">
        <v>52</v>
      </c>
      <c r="Q37" s="60" t="s">
        <v>192</v>
      </c>
      <c r="R37" s="61" t="s">
        <v>54</v>
      </c>
      <c r="S37" s="61" t="s">
        <v>198</v>
      </c>
      <c r="T37" s="61" t="s">
        <v>56</v>
      </c>
      <c r="U37" s="61" t="s">
        <v>57</v>
      </c>
      <c r="V37" s="61" t="s">
        <v>59</v>
      </c>
      <c r="W37" s="62" t="s">
        <v>194</v>
      </c>
      <c r="AD37" s="411">
        <v>320</v>
      </c>
      <c r="AE37" s="416">
        <v>4.2359</v>
      </c>
      <c r="AF37" s="416">
        <v>4.5225</v>
      </c>
      <c r="AG37" s="416">
        <v>4.6226000000000003</v>
      </c>
      <c r="AH37" s="416">
        <v>4.7355</v>
      </c>
      <c r="AI37" s="416">
        <v>5.0215000000000005</v>
      </c>
      <c r="AJ37" s="416">
        <v>5.0929000000000002</v>
      </c>
      <c r="AK37" s="416">
        <v>5.478600000000001</v>
      </c>
      <c r="AN37" s="411">
        <v>320</v>
      </c>
      <c r="AO37" s="411">
        <v>379.28</v>
      </c>
      <c r="AP37" s="411">
        <v>406.45</v>
      </c>
      <c r="AQ37" s="411">
        <v>418.79999999999995</v>
      </c>
      <c r="AR37" s="411">
        <v>431.27999999999992</v>
      </c>
      <c r="AS37" s="411">
        <v>450</v>
      </c>
      <c r="AT37" s="411">
        <v>456.24000000000007</v>
      </c>
      <c r="AU37" s="411">
        <v>478.3</v>
      </c>
    </row>
    <row r="38" spans="1:47" ht="18" customHeight="1">
      <c r="B38" s="93" t="s">
        <v>199</v>
      </c>
      <c r="C38" s="94"/>
      <c r="D38" s="63">
        <f>SUM(D19:D34)</f>
        <v>0</v>
      </c>
      <c r="E38" s="248" t="e">
        <f>G38/D38*100</f>
        <v>#DIV/0!</v>
      </c>
      <c r="F38" s="16"/>
      <c r="G38" s="56">
        <f>SUM(G19:G34)</f>
        <v>0</v>
      </c>
      <c r="H38" s="57">
        <f>H92</f>
        <v>0</v>
      </c>
      <c r="I38" s="57">
        <f>I92</f>
        <v>0</v>
      </c>
      <c r="J38" s="57">
        <f t="shared" ref="J38:W38" si="2">J92</f>
        <v>0</v>
      </c>
      <c r="K38" s="56">
        <f t="shared" si="2"/>
        <v>0</v>
      </c>
      <c r="L38" s="57">
        <f t="shared" si="2"/>
        <v>0</v>
      </c>
      <c r="M38" s="57">
        <f t="shared" si="2"/>
        <v>0</v>
      </c>
      <c r="N38" s="57">
        <f t="shared" si="2"/>
        <v>0</v>
      </c>
      <c r="O38" s="57">
        <f t="shared" si="2"/>
        <v>0</v>
      </c>
      <c r="P38" s="57">
        <f t="shared" si="2"/>
        <v>0</v>
      </c>
      <c r="Q38" s="57">
        <f t="shared" si="2"/>
        <v>0</v>
      </c>
      <c r="R38" s="76">
        <f t="shared" si="2"/>
        <v>0</v>
      </c>
      <c r="S38" s="76">
        <f t="shared" si="2"/>
        <v>0</v>
      </c>
      <c r="T38" s="76">
        <f t="shared" si="2"/>
        <v>0</v>
      </c>
      <c r="U38" s="76">
        <f t="shared" si="2"/>
        <v>0</v>
      </c>
      <c r="V38" s="76">
        <f t="shared" si="2"/>
        <v>0</v>
      </c>
      <c r="W38" s="249">
        <f t="shared" si="2"/>
        <v>0</v>
      </c>
      <c r="AD38" s="411">
        <v>330</v>
      </c>
      <c r="AE38" s="416">
        <v>4.3353999999999999</v>
      </c>
      <c r="AF38" s="416">
        <v>4.6294999999999993</v>
      </c>
      <c r="AG38" s="416">
        <v>4.7305999999999999</v>
      </c>
      <c r="AH38" s="416">
        <v>4.8445</v>
      </c>
      <c r="AI38" s="416">
        <v>5.1390000000000002</v>
      </c>
      <c r="AJ38" s="416">
        <v>5.2114000000000003</v>
      </c>
      <c r="AK38" s="416">
        <v>5.6075999999999997</v>
      </c>
      <c r="AN38" s="411">
        <v>330</v>
      </c>
      <c r="AO38" s="411">
        <v>386.52</v>
      </c>
      <c r="AP38" s="411">
        <v>413.79999999999995</v>
      </c>
      <c r="AQ38" s="411">
        <v>426.2</v>
      </c>
      <c r="AR38" s="411">
        <v>438.61999999999995</v>
      </c>
      <c r="AS38" s="411">
        <v>457.25</v>
      </c>
      <c r="AT38" s="411">
        <v>463.46000000000004</v>
      </c>
      <c r="AU38" s="411">
        <v>485.2</v>
      </c>
    </row>
    <row r="39" spans="1:47" ht="18" customHeight="1">
      <c r="B39" s="95" t="s">
        <v>200</v>
      </c>
      <c r="C39" s="96"/>
      <c r="D39" s="44"/>
      <c r="E39" s="44"/>
      <c r="F39" s="44"/>
      <c r="G39" s="56">
        <v>1</v>
      </c>
      <c r="H39" s="57" t="e">
        <f t="shared" ref="H39:W39" si="3">H38/$G$38</f>
        <v>#DIV/0!</v>
      </c>
      <c r="I39" s="57" t="e">
        <f t="shared" si="3"/>
        <v>#DIV/0!</v>
      </c>
      <c r="J39" s="57" t="e">
        <f t="shared" si="3"/>
        <v>#DIV/0!</v>
      </c>
      <c r="K39" s="58" t="e">
        <f t="shared" si="3"/>
        <v>#DIV/0!</v>
      </c>
      <c r="L39" s="57" t="e">
        <f t="shared" si="3"/>
        <v>#DIV/0!</v>
      </c>
      <c r="M39" s="57" t="e">
        <f t="shared" si="3"/>
        <v>#DIV/0!</v>
      </c>
      <c r="N39" s="57" t="e">
        <f t="shared" si="3"/>
        <v>#DIV/0!</v>
      </c>
      <c r="O39" s="56" t="e">
        <f t="shared" si="3"/>
        <v>#DIV/0!</v>
      </c>
      <c r="P39" s="56" t="e">
        <f t="shared" si="3"/>
        <v>#DIV/0!</v>
      </c>
      <c r="Q39" s="57" t="e">
        <f t="shared" si="3"/>
        <v>#DIV/0!</v>
      </c>
      <c r="R39" s="75" t="e">
        <f t="shared" si="3"/>
        <v>#DIV/0!</v>
      </c>
      <c r="S39" s="75" t="e">
        <f t="shared" si="3"/>
        <v>#DIV/0!</v>
      </c>
      <c r="T39" s="75" t="e">
        <f t="shared" si="3"/>
        <v>#DIV/0!</v>
      </c>
      <c r="U39" s="75" t="e">
        <f t="shared" si="3"/>
        <v>#DIV/0!</v>
      </c>
      <c r="V39" s="75" t="e">
        <f t="shared" si="3"/>
        <v>#DIV/0!</v>
      </c>
      <c r="W39" s="404" t="e">
        <f t="shared" si="3"/>
        <v>#DIV/0!</v>
      </c>
      <c r="AD39" s="411">
        <v>340</v>
      </c>
      <c r="AE39" s="416">
        <v>4.4338999999999995</v>
      </c>
      <c r="AF39" s="416">
        <v>4.7356999999999996</v>
      </c>
      <c r="AG39" s="416">
        <v>4.8378000000000005</v>
      </c>
      <c r="AH39" s="416">
        <v>4.9527000000000001</v>
      </c>
      <c r="AI39" s="416">
        <v>5.2559000000000005</v>
      </c>
      <c r="AJ39" s="416">
        <v>5.3292999999999999</v>
      </c>
      <c r="AK39" s="416">
        <v>5.7362000000000002</v>
      </c>
      <c r="AN39" s="411">
        <v>340</v>
      </c>
      <c r="AO39" s="411">
        <v>393.76</v>
      </c>
      <c r="AP39" s="411">
        <v>421.15000000000003</v>
      </c>
      <c r="AQ39" s="411">
        <v>433.6</v>
      </c>
      <c r="AR39" s="411">
        <v>445.96</v>
      </c>
      <c r="AS39" s="411">
        <v>464.50000000000006</v>
      </c>
      <c r="AT39" s="411">
        <v>470.68000000000006</v>
      </c>
      <c r="AU39" s="411">
        <v>492.1</v>
      </c>
    </row>
    <row r="40" spans="1:47" ht="18" customHeight="1" thickBot="1">
      <c r="B40" s="97" t="s">
        <v>260</v>
      </c>
      <c r="C40" s="98"/>
      <c r="D40" s="17"/>
      <c r="E40" s="17"/>
      <c r="F40" s="17"/>
      <c r="G40" s="405">
        <f>G38/H12</f>
        <v>0</v>
      </c>
      <c r="H40" s="405">
        <f>H38/I12</f>
        <v>0</v>
      </c>
      <c r="I40" s="405">
        <f>I38/J12</f>
        <v>0</v>
      </c>
      <c r="J40" s="406"/>
      <c r="K40" s="405">
        <f>K38/N12</f>
        <v>0</v>
      </c>
      <c r="L40" s="405">
        <f>L38/O12</f>
        <v>0</v>
      </c>
      <c r="M40" s="405">
        <f>M38/P12</f>
        <v>0</v>
      </c>
      <c r="N40" s="406"/>
      <c r="O40" s="405">
        <f>O38/L12</f>
        <v>0</v>
      </c>
      <c r="P40" s="405">
        <f>P38/M12</f>
        <v>0</v>
      </c>
      <c r="Q40" s="17"/>
      <c r="R40" s="407"/>
      <c r="S40" s="407"/>
      <c r="T40" s="407"/>
      <c r="U40" s="407"/>
      <c r="V40" s="407"/>
      <c r="W40" s="408"/>
      <c r="AD40" s="411">
        <v>350</v>
      </c>
      <c r="AE40" s="416">
        <v>4.5314000000000005</v>
      </c>
      <c r="AF40" s="416">
        <v>4.8410999999999991</v>
      </c>
      <c r="AG40" s="416">
        <v>4.9442000000000004</v>
      </c>
      <c r="AH40" s="416">
        <v>5.0600999999999994</v>
      </c>
      <c r="AI40" s="416">
        <v>5.3722000000000003</v>
      </c>
      <c r="AJ40" s="416">
        <v>5.4466000000000001</v>
      </c>
      <c r="AK40" s="416">
        <v>5.8644000000000007</v>
      </c>
      <c r="AN40" s="411">
        <v>350</v>
      </c>
      <c r="AO40" s="411">
        <v>401</v>
      </c>
      <c r="AP40" s="411">
        <v>428.5</v>
      </c>
      <c r="AQ40" s="411">
        <v>441</v>
      </c>
      <c r="AR40" s="411">
        <v>453.29999999999995</v>
      </c>
      <c r="AS40" s="411">
        <v>471.75</v>
      </c>
      <c r="AT40" s="411">
        <v>477.90000000000003</v>
      </c>
      <c r="AU40" s="411">
        <v>499</v>
      </c>
    </row>
    <row r="41" spans="1:47">
      <c r="N41" s="150"/>
      <c r="O41" s="150"/>
      <c r="Q41" s="148"/>
      <c r="R41" s="149"/>
      <c r="S41" s="149"/>
      <c r="T41" s="149"/>
      <c r="U41" s="149"/>
      <c r="V41" s="149"/>
      <c r="AD41" s="411">
        <v>360</v>
      </c>
      <c r="AE41" s="416">
        <v>4.6279000000000003</v>
      </c>
      <c r="AF41" s="416">
        <v>4.9456999999999995</v>
      </c>
      <c r="AG41" s="416">
        <v>5.0498000000000003</v>
      </c>
      <c r="AH41" s="416">
        <v>5.1667000000000005</v>
      </c>
      <c r="AI41" s="416">
        <v>5.4879000000000007</v>
      </c>
      <c r="AJ41" s="416">
        <v>5.5632999999999999</v>
      </c>
      <c r="AK41" s="416">
        <v>5.9922000000000004</v>
      </c>
      <c r="AN41" s="411">
        <v>360</v>
      </c>
      <c r="AO41" s="411">
        <v>408.44000000000005</v>
      </c>
      <c r="AP41" s="411">
        <v>436.05</v>
      </c>
      <c r="AQ41" s="411">
        <v>448.6</v>
      </c>
      <c r="AR41" s="411">
        <v>460.78</v>
      </c>
      <c r="AS41" s="411">
        <v>479.05000000000007</v>
      </c>
      <c r="AT41" s="411">
        <v>485.14000000000004</v>
      </c>
      <c r="AU41" s="411">
        <v>506.20000000000005</v>
      </c>
    </row>
    <row r="42" spans="1:47">
      <c r="Q42" s="151" t="s">
        <v>203</v>
      </c>
      <c r="R42" s="152">
        <v>0</v>
      </c>
      <c r="S42" s="152">
        <v>180</v>
      </c>
      <c r="T42" s="152">
        <v>350</v>
      </c>
      <c r="U42" s="153">
        <v>210</v>
      </c>
      <c r="V42" s="154"/>
      <c r="AD42" s="411">
        <v>370</v>
      </c>
      <c r="AE42" s="416">
        <v>4.7234000000000007</v>
      </c>
      <c r="AF42" s="416">
        <v>5.0494999999999992</v>
      </c>
      <c r="AG42" s="416">
        <v>5.1546000000000003</v>
      </c>
      <c r="AH42" s="416">
        <v>5.2725</v>
      </c>
      <c r="AI42" s="416">
        <v>5.6029999999999998</v>
      </c>
      <c r="AJ42" s="416">
        <v>5.6793999999999993</v>
      </c>
      <c r="AK42" s="416">
        <v>6.119600000000001</v>
      </c>
      <c r="AN42" s="411">
        <v>370</v>
      </c>
      <c r="AO42" s="411">
        <v>415.88</v>
      </c>
      <c r="AP42" s="411">
        <v>443.59999999999997</v>
      </c>
      <c r="AQ42" s="411">
        <v>456.2</v>
      </c>
      <c r="AR42" s="411">
        <v>468.25999999999993</v>
      </c>
      <c r="AS42" s="411">
        <v>486.35</v>
      </c>
      <c r="AT42" s="411">
        <v>492.38</v>
      </c>
      <c r="AU42" s="411">
        <v>513.4</v>
      </c>
    </row>
    <row r="43" spans="1:47">
      <c r="B43" s="787" t="s">
        <v>205</v>
      </c>
      <c r="C43" s="787"/>
      <c r="K43" s="303"/>
      <c r="Q43" s="157" t="s">
        <v>204</v>
      </c>
      <c r="R43" s="158">
        <v>200</v>
      </c>
      <c r="S43" s="158"/>
      <c r="T43" s="158"/>
      <c r="U43" s="159"/>
      <c r="V43" s="160">
        <v>40</v>
      </c>
      <c r="AD43" s="411">
        <v>380</v>
      </c>
      <c r="AE43" s="416">
        <v>4.8179000000000007</v>
      </c>
      <c r="AF43" s="416">
        <v>5.152499999999999</v>
      </c>
      <c r="AG43" s="416">
        <v>5.2586000000000004</v>
      </c>
      <c r="AH43" s="416">
        <v>5.3774999999999995</v>
      </c>
      <c r="AI43" s="416">
        <v>5.7175000000000002</v>
      </c>
      <c r="AJ43" s="416">
        <v>5.7948999999999993</v>
      </c>
      <c r="AK43" s="416">
        <v>6.2465999999999999</v>
      </c>
      <c r="AN43" s="411">
        <v>380</v>
      </c>
      <c r="AO43" s="411">
        <v>423.32000000000005</v>
      </c>
      <c r="AP43" s="411">
        <v>451.15</v>
      </c>
      <c r="AQ43" s="411">
        <v>463.79999999999995</v>
      </c>
      <c r="AR43" s="411">
        <v>475.73999999999995</v>
      </c>
      <c r="AS43" s="411">
        <v>493.65</v>
      </c>
      <c r="AT43" s="411">
        <v>499.62</v>
      </c>
      <c r="AU43" s="411">
        <v>520.6</v>
      </c>
    </row>
    <row r="44" spans="1:47">
      <c r="B44" s="373" t="s">
        <v>206</v>
      </c>
      <c r="C44" s="374"/>
      <c r="AD44" s="411">
        <v>390</v>
      </c>
      <c r="AE44" s="416">
        <v>4.9113999999999995</v>
      </c>
      <c r="AF44" s="416">
        <v>5.2546999999999997</v>
      </c>
      <c r="AG44" s="416">
        <v>5.3618000000000006</v>
      </c>
      <c r="AH44" s="416">
        <v>5.4817</v>
      </c>
      <c r="AI44" s="416">
        <v>5.8314000000000004</v>
      </c>
      <c r="AJ44" s="416">
        <v>5.9097999999999997</v>
      </c>
      <c r="AK44" s="416">
        <v>6.3732000000000006</v>
      </c>
      <c r="AN44" s="411">
        <v>390</v>
      </c>
      <c r="AO44" s="411">
        <v>430.76000000000005</v>
      </c>
      <c r="AP44" s="411">
        <v>458.7</v>
      </c>
      <c r="AQ44" s="411">
        <v>471.40000000000003</v>
      </c>
      <c r="AR44" s="411">
        <v>483.21999999999991</v>
      </c>
      <c r="AS44" s="411">
        <v>500.95000000000005</v>
      </c>
      <c r="AT44" s="411">
        <v>506.86</v>
      </c>
      <c r="AU44" s="411">
        <v>527.79999999999995</v>
      </c>
    </row>
    <row r="45" spans="1:47">
      <c r="B45" s="373" t="s">
        <v>207</v>
      </c>
      <c r="C45" s="375"/>
      <c r="AD45" s="411">
        <v>400</v>
      </c>
      <c r="AE45" s="416">
        <v>5.0039000000000007</v>
      </c>
      <c r="AF45" s="416">
        <v>5.3560999999999996</v>
      </c>
      <c r="AG45" s="416">
        <v>5.4642000000000008</v>
      </c>
      <c r="AH45" s="416">
        <v>5.5851000000000006</v>
      </c>
      <c r="AI45" s="416">
        <v>5.9447000000000001</v>
      </c>
      <c r="AJ45" s="416">
        <v>6.0240999999999989</v>
      </c>
      <c r="AK45" s="416">
        <v>6.4994000000000005</v>
      </c>
      <c r="AN45" s="411">
        <v>400</v>
      </c>
      <c r="AO45" s="411">
        <v>438.20000000000005</v>
      </c>
      <c r="AP45" s="411">
        <v>466.25</v>
      </c>
      <c r="AQ45" s="411">
        <v>479</v>
      </c>
      <c r="AR45" s="411">
        <v>490.69999999999993</v>
      </c>
      <c r="AS45" s="411">
        <v>508.25</v>
      </c>
      <c r="AT45" s="411">
        <v>514.1</v>
      </c>
      <c r="AU45" s="411">
        <v>535</v>
      </c>
    </row>
    <row r="46" spans="1:47">
      <c r="B46" s="373" t="s">
        <v>208</v>
      </c>
      <c r="C46" s="376"/>
      <c r="R46" s="145"/>
      <c r="S46" s="147"/>
      <c r="AD46" s="411">
        <v>410</v>
      </c>
      <c r="AE46" s="416">
        <v>5.0954000000000006</v>
      </c>
      <c r="AF46" s="416">
        <v>5.4566999999999997</v>
      </c>
      <c r="AG46" s="416">
        <v>5.5658000000000003</v>
      </c>
      <c r="AH46" s="416">
        <v>5.6877000000000004</v>
      </c>
      <c r="AI46" s="416">
        <v>6.0574000000000003</v>
      </c>
      <c r="AJ46" s="416">
        <v>6.1377999999999995</v>
      </c>
      <c r="AK46" s="416">
        <v>6.6252000000000004</v>
      </c>
      <c r="AN46" s="411">
        <v>410</v>
      </c>
      <c r="AO46" s="411">
        <v>445.56000000000006</v>
      </c>
      <c r="AP46" s="411">
        <v>473.5</v>
      </c>
      <c r="AQ46" s="411">
        <v>486.20000000000005</v>
      </c>
      <c r="AR46" s="411">
        <v>497.65999999999997</v>
      </c>
      <c r="AS46" s="411">
        <v>514.85</v>
      </c>
      <c r="AT46" s="411">
        <v>520.58000000000004</v>
      </c>
      <c r="AU46" s="411">
        <v>543</v>
      </c>
    </row>
    <row r="47" spans="1:47">
      <c r="B47" s="1"/>
      <c r="C47" s="1"/>
      <c r="S47" s="147"/>
      <c r="AD47" s="411">
        <v>420</v>
      </c>
      <c r="AE47" s="416">
        <v>5.1859000000000002</v>
      </c>
      <c r="AF47" s="416">
        <v>5.5564999999999998</v>
      </c>
      <c r="AG47" s="416">
        <v>5.6665999999999999</v>
      </c>
      <c r="AH47" s="416">
        <v>5.7894999999999994</v>
      </c>
      <c r="AI47" s="416">
        <v>6.1695000000000002</v>
      </c>
      <c r="AJ47" s="416">
        <v>6.2508999999999997</v>
      </c>
      <c r="AK47" s="416">
        <v>6.7506000000000004</v>
      </c>
      <c r="AN47" s="411">
        <v>420</v>
      </c>
      <c r="AO47" s="411">
        <v>452.92</v>
      </c>
      <c r="AP47" s="411">
        <v>480.75</v>
      </c>
      <c r="AQ47" s="411">
        <v>493.4</v>
      </c>
      <c r="AR47" s="411">
        <v>504.62</v>
      </c>
      <c r="AS47" s="411">
        <v>521.45000000000005</v>
      </c>
      <c r="AT47" s="411">
        <v>527.05999999999995</v>
      </c>
      <c r="AU47" s="411">
        <v>551</v>
      </c>
    </row>
    <row r="48" spans="1:47">
      <c r="AD48" s="411">
        <v>430</v>
      </c>
      <c r="AE48" s="416">
        <v>5.2754000000000003</v>
      </c>
      <c r="AF48" s="416">
        <v>5.6554999999999991</v>
      </c>
      <c r="AG48" s="416">
        <v>5.7666000000000004</v>
      </c>
      <c r="AH48" s="416">
        <v>5.8904999999999994</v>
      </c>
      <c r="AI48" s="416">
        <v>6.2809999999999997</v>
      </c>
      <c r="AJ48" s="416">
        <v>6.3634000000000004</v>
      </c>
      <c r="AK48" s="416">
        <v>6.8756000000000013</v>
      </c>
      <c r="AN48" s="411">
        <v>430</v>
      </c>
      <c r="AO48" s="411">
        <v>460.28000000000003</v>
      </c>
      <c r="AP48" s="411">
        <v>488</v>
      </c>
      <c r="AQ48" s="411">
        <v>500.6</v>
      </c>
      <c r="AR48" s="411">
        <v>511.58</v>
      </c>
      <c r="AS48" s="411">
        <v>528.04999999999995</v>
      </c>
      <c r="AT48" s="411">
        <v>533.54</v>
      </c>
      <c r="AU48" s="411">
        <v>559</v>
      </c>
    </row>
    <row r="49" spans="1:47">
      <c r="AD49" s="411">
        <v>440</v>
      </c>
      <c r="AE49" s="416">
        <v>5.3639000000000001</v>
      </c>
      <c r="AF49" s="416">
        <v>5.7536999999999994</v>
      </c>
      <c r="AG49" s="416">
        <v>5.8658000000000001</v>
      </c>
      <c r="AH49" s="416">
        <v>5.9906999999999995</v>
      </c>
      <c r="AI49" s="416">
        <v>6.3919000000000006</v>
      </c>
      <c r="AJ49" s="416">
        <v>6.4752999999999998</v>
      </c>
      <c r="AK49" s="416">
        <v>7.0002000000000004</v>
      </c>
      <c r="AN49" s="411">
        <v>440</v>
      </c>
      <c r="AO49" s="411">
        <v>467.64</v>
      </c>
      <c r="AP49" s="411">
        <v>495.25</v>
      </c>
      <c r="AQ49" s="411">
        <v>507.8</v>
      </c>
      <c r="AR49" s="411">
        <v>518.54</v>
      </c>
      <c r="AS49" s="411">
        <v>534.65</v>
      </c>
      <c r="AT49" s="411">
        <v>540.0200000000001</v>
      </c>
      <c r="AU49" s="411">
        <v>567</v>
      </c>
    </row>
    <row r="50" spans="1:47">
      <c r="AD50" s="411">
        <v>450</v>
      </c>
      <c r="AE50" s="416">
        <v>5.4514000000000005</v>
      </c>
      <c r="AF50" s="416">
        <v>5.8510999999999997</v>
      </c>
      <c r="AG50" s="416">
        <v>5.9642000000000008</v>
      </c>
      <c r="AH50" s="416">
        <v>6.0901000000000005</v>
      </c>
      <c r="AI50" s="416">
        <v>6.5022000000000002</v>
      </c>
      <c r="AJ50" s="416">
        <v>6.5865999999999998</v>
      </c>
      <c r="AK50" s="416">
        <v>7.1244000000000005</v>
      </c>
      <c r="AN50" s="411">
        <v>450</v>
      </c>
      <c r="AO50" s="411">
        <v>475</v>
      </c>
      <c r="AP50" s="411">
        <v>502.5</v>
      </c>
      <c r="AQ50" s="411">
        <v>515</v>
      </c>
      <c r="AR50" s="411">
        <v>525.5</v>
      </c>
      <c r="AS50" s="411">
        <v>541.25</v>
      </c>
      <c r="AT50" s="411">
        <v>546.5</v>
      </c>
      <c r="AU50" s="411">
        <v>575</v>
      </c>
    </row>
    <row r="51" spans="1:47">
      <c r="AD51" s="411">
        <v>460</v>
      </c>
      <c r="AE51" s="416">
        <v>5.5379000000000005</v>
      </c>
      <c r="AF51" s="416">
        <v>5.9476999999999993</v>
      </c>
      <c r="AG51" s="416">
        <v>6.0618000000000007</v>
      </c>
      <c r="AH51" s="416">
        <v>6.1886999999999999</v>
      </c>
      <c r="AI51" s="416">
        <v>6.6119000000000003</v>
      </c>
      <c r="AJ51" s="416">
        <v>6.6972999999999994</v>
      </c>
      <c r="AK51" s="416">
        <v>7.2482000000000006</v>
      </c>
      <c r="AN51" s="411">
        <v>460</v>
      </c>
      <c r="AO51" s="411">
        <v>482.92</v>
      </c>
      <c r="AP51" s="411">
        <v>510.2</v>
      </c>
      <c r="AQ51" s="411">
        <v>522.6</v>
      </c>
      <c r="AR51" s="411">
        <v>532.80000000000007</v>
      </c>
      <c r="AS51" s="411">
        <v>548.1</v>
      </c>
      <c r="AT51" s="411">
        <v>553.20000000000005</v>
      </c>
      <c r="AU51" s="411">
        <v>584.70000000000005</v>
      </c>
    </row>
    <row r="52" spans="1:47">
      <c r="AD52" s="411">
        <v>470</v>
      </c>
      <c r="AE52" s="416">
        <v>5.6234000000000002</v>
      </c>
      <c r="AF52" s="416">
        <v>6.0434999999999999</v>
      </c>
      <c r="AG52" s="416">
        <v>6.1586000000000007</v>
      </c>
      <c r="AH52" s="416">
        <v>6.2864999999999993</v>
      </c>
      <c r="AI52" s="416">
        <v>6.7210000000000001</v>
      </c>
      <c r="AJ52" s="416">
        <v>6.8073999999999995</v>
      </c>
      <c r="AK52" s="416">
        <v>7.3716000000000008</v>
      </c>
      <c r="AN52" s="411">
        <v>470</v>
      </c>
      <c r="AO52" s="411">
        <v>490.84000000000003</v>
      </c>
      <c r="AP52" s="411">
        <v>517.9</v>
      </c>
      <c r="AQ52" s="411">
        <v>530.20000000000005</v>
      </c>
      <c r="AR52" s="411">
        <v>540.1</v>
      </c>
      <c r="AS52" s="411">
        <v>554.95000000000005</v>
      </c>
      <c r="AT52" s="411">
        <v>559.9</v>
      </c>
      <c r="AU52" s="411">
        <v>594.4</v>
      </c>
    </row>
    <row r="53" spans="1:47">
      <c r="AD53" s="411">
        <v>480</v>
      </c>
      <c r="AE53" s="416">
        <v>5.7079000000000004</v>
      </c>
      <c r="AF53" s="416">
        <v>6.1384999999999996</v>
      </c>
      <c r="AG53" s="416">
        <v>6.2546000000000008</v>
      </c>
      <c r="AH53" s="416">
        <v>6.3834999999999997</v>
      </c>
      <c r="AI53" s="416">
        <v>6.8295000000000003</v>
      </c>
      <c r="AJ53" s="416">
        <v>6.9168999999999992</v>
      </c>
      <c r="AK53" s="416">
        <v>7.494600000000001</v>
      </c>
      <c r="AN53" s="411">
        <v>480</v>
      </c>
      <c r="AO53" s="411">
        <v>498.76</v>
      </c>
      <c r="AP53" s="411">
        <v>525.59999999999991</v>
      </c>
      <c r="AQ53" s="411">
        <v>537.79999999999995</v>
      </c>
      <c r="AR53" s="411">
        <v>547.4</v>
      </c>
      <c r="AS53" s="411">
        <v>561.79999999999995</v>
      </c>
      <c r="AT53" s="411">
        <v>566.6</v>
      </c>
      <c r="AU53" s="411">
        <v>604.09999999999991</v>
      </c>
    </row>
    <row r="54" spans="1:47">
      <c r="AD54" s="411">
        <v>490</v>
      </c>
      <c r="AE54" s="416">
        <v>5.7914000000000003</v>
      </c>
      <c r="AF54" s="416">
        <v>6.2326999999999995</v>
      </c>
      <c r="AG54" s="416">
        <v>6.3498000000000001</v>
      </c>
      <c r="AH54" s="416">
        <v>6.4797000000000002</v>
      </c>
      <c r="AI54" s="416">
        <v>6.9374000000000002</v>
      </c>
      <c r="AJ54" s="416">
        <v>7.0257999999999994</v>
      </c>
      <c r="AK54" s="416">
        <v>7.6172000000000004</v>
      </c>
      <c r="AN54" s="411">
        <v>490</v>
      </c>
      <c r="AO54" s="411">
        <v>506.68000000000006</v>
      </c>
      <c r="AP54" s="411">
        <v>533.29999999999995</v>
      </c>
      <c r="AQ54" s="411">
        <v>545.40000000000009</v>
      </c>
      <c r="AR54" s="411">
        <v>554.70000000000005</v>
      </c>
      <c r="AS54" s="411">
        <v>568.65000000000009</v>
      </c>
      <c r="AT54" s="411">
        <v>573.29999999999995</v>
      </c>
      <c r="AU54" s="411">
        <v>613.79999999999995</v>
      </c>
    </row>
    <row r="55" spans="1:47">
      <c r="AD55" s="411">
        <v>500</v>
      </c>
      <c r="AE55" s="416">
        <v>5.8738999999999999</v>
      </c>
      <c r="AF55" s="416">
        <v>6.3260999999999994</v>
      </c>
      <c r="AG55" s="416">
        <v>6.4442000000000004</v>
      </c>
      <c r="AH55" s="416">
        <v>6.5750999999999999</v>
      </c>
      <c r="AI55" s="416">
        <v>7.0447000000000006</v>
      </c>
      <c r="AJ55" s="416">
        <v>7.1340999999999992</v>
      </c>
      <c r="AK55" s="416">
        <v>7.7394000000000007</v>
      </c>
      <c r="AN55" s="411">
        <v>500</v>
      </c>
      <c r="AO55" s="411">
        <v>514.6</v>
      </c>
      <c r="AP55" s="411">
        <v>541</v>
      </c>
      <c r="AQ55" s="411">
        <v>553</v>
      </c>
      <c r="AR55" s="411">
        <v>562</v>
      </c>
      <c r="AS55" s="411">
        <v>575.5</v>
      </c>
      <c r="AT55" s="411">
        <v>580</v>
      </c>
      <c r="AU55" s="411">
        <v>623.5</v>
      </c>
    </row>
    <row r="56" spans="1:47">
      <c r="AD56" s="411">
        <v>510</v>
      </c>
      <c r="AE56" s="416">
        <v>5.9554</v>
      </c>
      <c r="AF56" s="416">
        <v>6.4186999999999994</v>
      </c>
      <c r="AG56" s="416">
        <v>6.5378000000000007</v>
      </c>
      <c r="AH56" s="416">
        <v>6.6696999999999997</v>
      </c>
      <c r="AI56" s="416">
        <v>7.1513999999999998</v>
      </c>
      <c r="AJ56" s="416">
        <v>7.2417999999999996</v>
      </c>
      <c r="AK56" s="416">
        <v>7.8612000000000002</v>
      </c>
      <c r="AN56" s="411">
        <v>510</v>
      </c>
      <c r="AO56" s="411">
        <v>523.92000000000007</v>
      </c>
      <c r="AP56" s="411">
        <v>550.1</v>
      </c>
      <c r="AQ56" s="411">
        <v>562</v>
      </c>
      <c r="AR56" s="411">
        <v>571.24</v>
      </c>
      <c r="AS56" s="411">
        <v>585.1</v>
      </c>
      <c r="AT56" s="411">
        <v>589.72</v>
      </c>
      <c r="AU56" s="411">
        <v>634</v>
      </c>
    </row>
    <row r="57" spans="1:47">
      <c r="AD57" s="411">
        <v>520</v>
      </c>
      <c r="AE57" s="416">
        <v>6.0359000000000007</v>
      </c>
      <c r="AF57" s="416">
        <v>6.5104999999999995</v>
      </c>
      <c r="AG57" s="416">
        <v>6.6306000000000003</v>
      </c>
      <c r="AH57" s="416">
        <v>6.7634999999999996</v>
      </c>
      <c r="AI57" s="416">
        <v>7.2575000000000003</v>
      </c>
      <c r="AJ57" s="416">
        <v>7.3488999999999995</v>
      </c>
      <c r="AK57" s="416">
        <v>7.9826000000000006</v>
      </c>
      <c r="AN57" s="411">
        <v>520</v>
      </c>
      <c r="AO57" s="411">
        <v>533.24</v>
      </c>
      <c r="AP57" s="411">
        <v>559.20000000000005</v>
      </c>
      <c r="AQ57" s="411">
        <v>571</v>
      </c>
      <c r="AR57" s="411">
        <v>580.48</v>
      </c>
      <c r="AS57" s="411">
        <v>594.70000000000005</v>
      </c>
      <c r="AT57" s="411">
        <v>599.44000000000005</v>
      </c>
      <c r="AU57" s="411">
        <v>644.5</v>
      </c>
    </row>
    <row r="58" spans="1:47">
      <c r="AD58" s="411">
        <v>530</v>
      </c>
      <c r="AE58" s="416">
        <v>6.1154000000000002</v>
      </c>
      <c r="AF58" s="416">
        <v>6.6014999999999997</v>
      </c>
      <c r="AG58" s="416">
        <v>6.7226000000000008</v>
      </c>
      <c r="AH58" s="416">
        <v>6.8565000000000005</v>
      </c>
      <c r="AI58" s="416">
        <v>7.3630000000000004</v>
      </c>
      <c r="AJ58" s="416">
        <v>7.4554</v>
      </c>
      <c r="AK58" s="416">
        <v>8.1036000000000001</v>
      </c>
      <c r="AN58" s="411">
        <v>530</v>
      </c>
      <c r="AO58" s="411">
        <v>542.56000000000006</v>
      </c>
      <c r="AP58" s="411">
        <v>568.29999999999995</v>
      </c>
      <c r="AQ58" s="411">
        <v>580</v>
      </c>
      <c r="AR58" s="411">
        <v>589.72</v>
      </c>
      <c r="AS58" s="411">
        <v>604.29999999999995</v>
      </c>
      <c r="AT58" s="411">
        <v>609.16000000000008</v>
      </c>
      <c r="AU58" s="411">
        <v>655</v>
      </c>
    </row>
    <row r="59" spans="1:47">
      <c r="AD59" s="411">
        <v>540</v>
      </c>
      <c r="AE59" s="416">
        <v>6.1939000000000002</v>
      </c>
      <c r="AF59" s="416">
        <v>6.6916999999999991</v>
      </c>
      <c r="AG59" s="416">
        <v>6.8138000000000014</v>
      </c>
      <c r="AH59" s="416">
        <v>6.9486999999999997</v>
      </c>
      <c r="AI59" s="416">
        <v>7.4679000000000011</v>
      </c>
      <c r="AJ59" s="416">
        <v>7.5612999999999992</v>
      </c>
      <c r="AK59" s="416">
        <v>8.2241999999999997</v>
      </c>
      <c r="AN59" s="411">
        <v>540</v>
      </c>
      <c r="AO59" s="411">
        <v>551.88000000000011</v>
      </c>
      <c r="AP59" s="411">
        <v>577.40000000000009</v>
      </c>
      <c r="AQ59" s="411">
        <v>589</v>
      </c>
      <c r="AR59" s="411">
        <v>598.95999999999992</v>
      </c>
      <c r="AS59" s="411">
        <v>613.9</v>
      </c>
      <c r="AT59" s="411">
        <v>618.88000000000011</v>
      </c>
      <c r="AU59" s="411">
        <v>665.50000000000011</v>
      </c>
    </row>
    <row r="60" spans="1:47">
      <c r="AD60" s="411">
        <v>550</v>
      </c>
      <c r="AE60" s="416">
        <v>6.2713999999999999</v>
      </c>
      <c r="AF60" s="416">
        <v>6.7810999999999995</v>
      </c>
      <c r="AG60" s="416">
        <v>6.9042000000000003</v>
      </c>
      <c r="AH60" s="416">
        <v>7.0400999999999998</v>
      </c>
      <c r="AI60" s="416">
        <v>7.5722000000000005</v>
      </c>
      <c r="AJ60" s="416">
        <v>7.6665999999999999</v>
      </c>
      <c r="AK60" s="416">
        <v>8.3444000000000003</v>
      </c>
      <c r="AN60" s="411">
        <v>550</v>
      </c>
      <c r="AO60" s="411">
        <v>561.20000000000005</v>
      </c>
      <c r="AP60" s="411">
        <v>586.5</v>
      </c>
      <c r="AQ60" s="411">
        <v>598</v>
      </c>
      <c r="AR60" s="411">
        <v>608.19999999999993</v>
      </c>
      <c r="AS60" s="411">
        <v>623.5</v>
      </c>
      <c r="AT60" s="411">
        <v>628.6</v>
      </c>
      <c r="AU60" s="411">
        <v>676</v>
      </c>
    </row>
    <row r="61" spans="1:47">
      <c r="AD61" s="411">
        <v>560</v>
      </c>
      <c r="AE61" s="416">
        <v>6.347900000000001</v>
      </c>
      <c r="AF61" s="416">
        <v>6.8696999999999999</v>
      </c>
      <c r="AG61" s="416">
        <v>6.9938000000000011</v>
      </c>
      <c r="AH61" s="416">
        <v>7.1307</v>
      </c>
      <c r="AI61" s="416">
        <v>7.6759000000000004</v>
      </c>
      <c r="AJ61" s="416">
        <v>7.7712999999999992</v>
      </c>
      <c r="AK61" s="416">
        <v>8.4641999999999999</v>
      </c>
      <c r="AN61" s="411">
        <v>560</v>
      </c>
      <c r="AO61" s="411">
        <v>572.80000000000007</v>
      </c>
      <c r="AP61" s="411">
        <v>597</v>
      </c>
      <c r="AQ61" s="411">
        <v>608</v>
      </c>
      <c r="AR61" s="411">
        <v>618.5</v>
      </c>
      <c r="AS61" s="411">
        <v>634.25</v>
      </c>
      <c r="AT61" s="411">
        <v>639.5</v>
      </c>
      <c r="AU61" s="411">
        <v>688.7</v>
      </c>
    </row>
    <row r="62" spans="1:47">
      <c r="AD62" s="411">
        <v>570</v>
      </c>
      <c r="AE62" s="416">
        <v>6.4234</v>
      </c>
      <c r="AF62" s="416">
        <v>6.9574999999999996</v>
      </c>
      <c r="AG62" s="416">
        <v>7.0826000000000002</v>
      </c>
      <c r="AH62" s="416">
        <v>7.2205000000000004</v>
      </c>
      <c r="AI62" s="416">
        <v>7.7789999999999999</v>
      </c>
      <c r="AJ62" s="416">
        <v>7.8753999999999991</v>
      </c>
      <c r="AK62" s="416">
        <v>8.5836000000000006</v>
      </c>
      <c r="AN62" s="411">
        <v>570</v>
      </c>
      <c r="AO62" s="411">
        <v>584.40000000000009</v>
      </c>
      <c r="AP62" s="411">
        <v>607.5</v>
      </c>
      <c r="AQ62" s="411">
        <v>618</v>
      </c>
      <c r="AR62" s="411">
        <v>628.79999999999995</v>
      </c>
      <c r="AS62" s="411">
        <v>645</v>
      </c>
      <c r="AT62" s="411">
        <v>650.40000000000009</v>
      </c>
      <c r="AU62" s="411">
        <v>701.4</v>
      </c>
    </row>
    <row r="63" spans="1:47">
      <c r="AD63" s="411">
        <v>580</v>
      </c>
      <c r="AE63" s="416">
        <v>6.4979000000000005</v>
      </c>
      <c r="AF63" s="416">
        <v>7.0444999999999993</v>
      </c>
      <c r="AG63" s="416">
        <v>7.1706000000000003</v>
      </c>
      <c r="AH63" s="416">
        <v>7.3094999999999999</v>
      </c>
      <c r="AI63" s="416">
        <v>7.8815000000000008</v>
      </c>
      <c r="AJ63" s="416">
        <v>7.9788999999999994</v>
      </c>
      <c r="AK63" s="416">
        <v>8.7026000000000003</v>
      </c>
      <c r="AN63" s="411">
        <v>580</v>
      </c>
      <c r="AO63" s="411">
        <v>596</v>
      </c>
      <c r="AP63" s="411">
        <v>618</v>
      </c>
      <c r="AQ63" s="411">
        <v>628</v>
      </c>
      <c r="AR63" s="411">
        <v>639.09999999999991</v>
      </c>
      <c r="AS63" s="411">
        <v>655.75</v>
      </c>
      <c r="AT63" s="411">
        <v>661.30000000000007</v>
      </c>
      <c r="AU63" s="411">
        <v>714.1</v>
      </c>
    </row>
    <row r="64" spans="1:47">
      <c r="A64" s="109" t="s">
        <v>274</v>
      </c>
      <c r="AD64" s="411">
        <v>590</v>
      </c>
      <c r="AE64" s="416">
        <v>6.5714000000000006</v>
      </c>
      <c r="AF64" s="416">
        <v>7.1306999999999992</v>
      </c>
      <c r="AG64" s="416">
        <v>7.2578000000000005</v>
      </c>
      <c r="AH64" s="416">
        <v>7.3976999999999995</v>
      </c>
      <c r="AI64" s="416">
        <v>7.9834000000000005</v>
      </c>
      <c r="AJ64" s="416">
        <v>8.0817999999999994</v>
      </c>
      <c r="AK64" s="416">
        <v>8.8211999999999993</v>
      </c>
      <c r="AN64" s="411">
        <v>590</v>
      </c>
      <c r="AO64" s="411">
        <v>607.60000000000014</v>
      </c>
      <c r="AP64" s="411">
        <v>628.5</v>
      </c>
      <c r="AQ64" s="411">
        <v>638</v>
      </c>
      <c r="AR64" s="411">
        <v>649.4</v>
      </c>
      <c r="AS64" s="411">
        <v>666.50000000000011</v>
      </c>
      <c r="AT64" s="411">
        <v>672.2</v>
      </c>
      <c r="AU64" s="411">
        <v>726.80000000000007</v>
      </c>
    </row>
    <row r="65" spans="1:62">
      <c r="A65" s="162" t="s">
        <v>206</v>
      </c>
      <c r="B65" s="162"/>
      <c r="C65" s="162"/>
      <c r="AD65" s="411">
        <v>600</v>
      </c>
      <c r="AE65" s="416">
        <v>6.6439000000000004</v>
      </c>
      <c r="AF65" s="416">
        <v>7.2160999999999991</v>
      </c>
      <c r="AG65" s="416">
        <v>7.3442000000000016</v>
      </c>
      <c r="AH65" s="416">
        <v>7.4851000000000001</v>
      </c>
      <c r="AI65" s="416">
        <v>8.0846999999999998</v>
      </c>
      <c r="AJ65" s="416">
        <v>8.184099999999999</v>
      </c>
      <c r="AK65" s="416">
        <v>8.9394000000000009</v>
      </c>
      <c r="AN65" s="411">
        <v>600</v>
      </c>
      <c r="AO65" s="411">
        <v>619.20000000000005</v>
      </c>
      <c r="AP65" s="411">
        <v>639</v>
      </c>
      <c r="AQ65" s="411">
        <v>648</v>
      </c>
      <c r="AR65" s="411">
        <v>659.69999999999993</v>
      </c>
      <c r="AS65" s="411">
        <v>677.25</v>
      </c>
      <c r="AT65" s="411">
        <v>683.1</v>
      </c>
      <c r="AU65" s="411">
        <v>739.5</v>
      </c>
    </row>
    <row r="66" spans="1:62">
      <c r="A66" s="163" t="s">
        <v>207</v>
      </c>
      <c r="B66" s="163"/>
      <c r="C66" s="163"/>
    </row>
    <row r="67" spans="1:62">
      <c r="A67" s="164" t="s">
        <v>208</v>
      </c>
      <c r="B67" s="164"/>
      <c r="C67" s="164"/>
    </row>
    <row r="70" spans="1:62" s="295" customFormat="1" ht="15.6">
      <c r="A70" s="304" t="s">
        <v>210</v>
      </c>
      <c r="D70" s="305" t="s">
        <v>169</v>
      </c>
      <c r="E70" s="305" t="s">
        <v>42</v>
      </c>
      <c r="F70" s="305" t="s">
        <v>44</v>
      </c>
      <c r="G70" s="305" t="s">
        <v>171</v>
      </c>
      <c r="H70" s="305" t="s">
        <v>51</v>
      </c>
      <c r="I70" s="305" t="s">
        <v>211</v>
      </c>
      <c r="J70" s="305" t="s">
        <v>46</v>
      </c>
      <c r="K70" s="305" t="s">
        <v>48</v>
      </c>
      <c r="L70" s="305" t="s">
        <v>49</v>
      </c>
      <c r="AC70" s="411"/>
      <c r="AD70" s="411"/>
      <c r="AE70" s="411"/>
      <c r="AF70" s="411"/>
      <c r="AG70" s="411"/>
      <c r="AH70" s="411"/>
      <c r="AI70" s="411"/>
      <c r="AJ70" s="411"/>
      <c r="AK70" s="411"/>
      <c r="AL70" s="411"/>
      <c r="AM70" s="411"/>
      <c r="AN70" s="411"/>
      <c r="AO70" s="411"/>
      <c r="AP70" s="411"/>
      <c r="AQ70" s="411"/>
      <c r="AR70" s="411"/>
      <c r="AS70" s="411"/>
      <c r="AT70" s="411"/>
      <c r="AU70" s="411"/>
      <c r="AV70" s="411"/>
      <c r="AW70" s="411"/>
      <c r="AX70" s="411"/>
      <c r="AY70" s="411"/>
      <c r="AZ70" s="411"/>
      <c r="BA70" s="411"/>
      <c r="BB70" s="411"/>
      <c r="BC70" s="411"/>
      <c r="BD70" s="411"/>
      <c r="BE70" s="411"/>
      <c r="BF70" s="411"/>
      <c r="BG70" s="411"/>
      <c r="BH70" s="411"/>
      <c r="BI70" s="411"/>
      <c r="BJ70" s="411"/>
    </row>
    <row r="71" spans="1:62" s="295" customFormat="1">
      <c r="B71" s="295" t="s">
        <v>214</v>
      </c>
      <c r="D71" s="306">
        <f>G38/H12</f>
        <v>0</v>
      </c>
      <c r="E71" s="306">
        <f>H38/I12</f>
        <v>0</v>
      </c>
      <c r="F71" s="306">
        <f>I38/J12</f>
        <v>0</v>
      </c>
      <c r="G71" s="306" t="e">
        <f>J38/K12</f>
        <v>#DIV/0!</v>
      </c>
      <c r="H71" s="306">
        <f>O38/L12</f>
        <v>0</v>
      </c>
      <c r="I71" s="306">
        <f>P38/M12</f>
        <v>0</v>
      </c>
      <c r="J71" s="306">
        <f>K38/N12</f>
        <v>0</v>
      </c>
      <c r="K71" s="306">
        <f>L38/O12</f>
        <v>0</v>
      </c>
      <c r="L71" s="306">
        <f>M38/P12</f>
        <v>0</v>
      </c>
      <c r="AC71" s="411"/>
      <c r="AD71" s="411"/>
      <c r="AE71" s="411"/>
      <c r="AF71" s="411"/>
      <c r="AG71" s="411"/>
      <c r="AH71" s="411"/>
      <c r="AI71" s="411"/>
      <c r="AJ71" s="411"/>
      <c r="AK71" s="411"/>
      <c r="AL71" s="411"/>
      <c r="AM71" s="411"/>
      <c r="AN71" s="411"/>
      <c r="AO71" s="411"/>
      <c r="AP71" s="411"/>
      <c r="AQ71" s="411"/>
      <c r="AR71" s="411"/>
      <c r="AS71" s="411"/>
      <c r="AT71" s="411"/>
      <c r="AU71" s="411"/>
      <c r="AV71" s="411"/>
      <c r="AW71" s="411"/>
      <c r="AX71" s="411"/>
      <c r="AY71" s="411"/>
      <c r="AZ71" s="411"/>
      <c r="BA71" s="411"/>
      <c r="BB71" s="411"/>
      <c r="BC71" s="411"/>
      <c r="BD71" s="411"/>
      <c r="BE71" s="411"/>
      <c r="BF71" s="411"/>
      <c r="BG71" s="411"/>
      <c r="BH71" s="411"/>
      <c r="BI71" s="411"/>
      <c r="BJ71" s="411"/>
    </row>
    <row r="72" spans="1:62" s="295" customFormat="1">
      <c r="B72" s="295" t="s">
        <v>262</v>
      </c>
      <c r="E72" s="307">
        <f>H40</f>
        <v>0</v>
      </c>
      <c r="F72" s="307">
        <f>I40</f>
        <v>0</v>
      </c>
      <c r="G72" s="307"/>
      <c r="H72" s="307">
        <f>O40</f>
        <v>0</v>
      </c>
      <c r="I72" s="307">
        <f>P40</f>
        <v>0</v>
      </c>
      <c r="J72" s="307">
        <f>K40</f>
        <v>0</v>
      </c>
      <c r="K72" s="307">
        <f>L40</f>
        <v>0</v>
      </c>
      <c r="L72" s="307">
        <f>M40</f>
        <v>0</v>
      </c>
      <c r="AC72" s="411"/>
      <c r="AD72" s="411"/>
      <c r="AE72" s="411"/>
      <c r="AF72" s="411"/>
      <c r="AG72" s="411"/>
      <c r="AH72" s="411"/>
      <c r="AI72" s="411"/>
      <c r="AJ72" s="411"/>
      <c r="AK72" s="411"/>
      <c r="AL72" s="411"/>
      <c r="AM72" s="411"/>
      <c r="AN72" s="411"/>
      <c r="AO72" s="411"/>
      <c r="AP72" s="411"/>
      <c r="AQ72" s="411"/>
      <c r="AR72" s="411"/>
      <c r="AS72" s="411"/>
      <c r="AT72" s="411"/>
      <c r="AU72" s="411"/>
      <c r="AV72" s="411"/>
      <c r="AW72" s="411"/>
      <c r="AX72" s="411"/>
      <c r="AY72" s="411"/>
      <c r="AZ72" s="411"/>
      <c r="BA72" s="411"/>
      <c r="BB72" s="411"/>
      <c r="BC72" s="411"/>
      <c r="BD72" s="411"/>
      <c r="BE72" s="411"/>
      <c r="BF72" s="411"/>
      <c r="BG72" s="411"/>
      <c r="BH72" s="411"/>
      <c r="BI72" s="411"/>
      <c r="BJ72" s="411"/>
    </row>
    <row r="73" spans="1:62" s="295" customFormat="1">
      <c r="B73" s="295" t="s">
        <v>219</v>
      </c>
      <c r="E73" s="308">
        <v>0.3</v>
      </c>
      <c r="F73" s="308">
        <v>0.3</v>
      </c>
      <c r="G73" s="308">
        <v>0.3</v>
      </c>
      <c r="H73" s="308">
        <v>0.3</v>
      </c>
      <c r="I73" s="308">
        <v>0.3</v>
      </c>
      <c r="J73" s="308">
        <v>0.3</v>
      </c>
      <c r="K73" s="308">
        <v>0.3</v>
      </c>
      <c r="L73" s="308">
        <v>0.3</v>
      </c>
      <c r="AC73" s="411"/>
      <c r="AD73" s="411"/>
      <c r="AE73" s="411"/>
      <c r="AF73" s="411"/>
      <c r="AG73" s="411"/>
      <c r="AH73" s="411"/>
      <c r="AI73" s="411"/>
      <c r="AJ73" s="411"/>
      <c r="AK73" s="411"/>
      <c r="AL73" s="411"/>
      <c r="AM73" s="411"/>
      <c r="AN73" s="411"/>
      <c r="AO73" s="411"/>
      <c r="AP73" s="411"/>
      <c r="AQ73" s="411"/>
      <c r="AR73" s="411"/>
      <c r="AS73" s="411"/>
      <c r="AT73" s="411"/>
      <c r="AU73" s="411"/>
      <c r="AV73" s="411"/>
      <c r="AW73" s="411"/>
      <c r="AX73" s="411"/>
      <c r="AY73" s="411"/>
      <c r="AZ73" s="411"/>
      <c r="BA73" s="411"/>
      <c r="BB73" s="411"/>
      <c r="BC73" s="411"/>
      <c r="BD73" s="411"/>
      <c r="BE73" s="411"/>
      <c r="BF73" s="411"/>
      <c r="BG73" s="411"/>
      <c r="BH73" s="411"/>
      <c r="BI73" s="411"/>
      <c r="BJ73" s="411"/>
    </row>
    <row r="74" spans="1:62" s="295" customFormat="1">
      <c r="E74" s="306">
        <v>1</v>
      </c>
      <c r="F74" s="306">
        <v>1</v>
      </c>
      <c r="G74" s="306">
        <v>1</v>
      </c>
      <c r="H74" s="306">
        <v>1</v>
      </c>
      <c r="I74" s="306">
        <v>1</v>
      </c>
      <c r="J74" s="306">
        <v>1</v>
      </c>
      <c r="K74" s="306">
        <v>1</v>
      </c>
      <c r="L74" s="306">
        <v>1</v>
      </c>
      <c r="AC74" s="411"/>
      <c r="AD74" s="411"/>
      <c r="AE74" s="411"/>
      <c r="AF74" s="411"/>
      <c r="AG74" s="411"/>
      <c r="AH74" s="411"/>
      <c r="AI74" s="411"/>
      <c r="AJ74" s="411"/>
      <c r="AK74" s="411"/>
      <c r="AL74" s="411"/>
      <c r="AM74" s="411"/>
      <c r="AN74" s="411"/>
      <c r="AO74" s="411"/>
      <c r="AP74" s="411"/>
      <c r="AQ74" s="411"/>
      <c r="AR74" s="411"/>
      <c r="AS74" s="411"/>
      <c r="AT74" s="411"/>
      <c r="AU74" s="411"/>
      <c r="AV74" s="411"/>
      <c r="AW74" s="411"/>
      <c r="AX74" s="411"/>
      <c r="AY74" s="411"/>
      <c r="AZ74" s="411"/>
      <c r="BA74" s="411"/>
      <c r="BB74" s="411"/>
      <c r="BC74" s="411"/>
      <c r="BD74" s="411"/>
      <c r="BE74" s="411"/>
      <c r="BF74" s="411"/>
      <c r="BG74" s="411"/>
      <c r="BH74" s="411"/>
      <c r="BI74" s="411"/>
      <c r="BJ74" s="411"/>
    </row>
    <row r="75" spans="1:62" s="295" customFormat="1" ht="26.4">
      <c r="A75" s="309"/>
      <c r="B75" s="309" t="s">
        <v>40</v>
      </c>
      <c r="C75" s="310" t="s">
        <v>187</v>
      </c>
      <c r="D75" s="310" t="s">
        <v>188</v>
      </c>
      <c r="E75" s="310" t="s">
        <v>220</v>
      </c>
      <c r="F75" s="310" t="s">
        <v>190</v>
      </c>
      <c r="G75" s="310" t="s">
        <v>191</v>
      </c>
      <c r="H75" s="310" t="s">
        <v>42</v>
      </c>
      <c r="I75" s="310" t="s">
        <v>44</v>
      </c>
      <c r="J75" s="310" t="s">
        <v>45</v>
      </c>
      <c r="K75" s="310" t="s">
        <v>46</v>
      </c>
      <c r="L75" s="310" t="s">
        <v>48</v>
      </c>
      <c r="M75" s="310" t="s">
        <v>49</v>
      </c>
      <c r="N75" s="310" t="s">
        <v>50</v>
      </c>
      <c r="O75" s="310" t="s">
        <v>51</v>
      </c>
      <c r="P75" s="310" t="s">
        <v>52</v>
      </c>
      <c r="Q75" s="310" t="s">
        <v>53</v>
      </c>
      <c r="R75" s="310" t="s">
        <v>54</v>
      </c>
      <c r="S75" s="310" t="s">
        <v>193</v>
      </c>
      <c r="T75" s="310" t="s">
        <v>56</v>
      </c>
      <c r="U75" s="310" t="s">
        <v>57</v>
      </c>
      <c r="V75" s="310" t="s">
        <v>59</v>
      </c>
      <c r="W75" s="310" t="s">
        <v>221</v>
      </c>
      <c r="AC75" s="411"/>
      <c r="AD75" s="411"/>
      <c r="AE75" s="411"/>
      <c r="AF75" s="411"/>
      <c r="AG75" s="411"/>
      <c r="AH75" s="411"/>
      <c r="AI75" s="411"/>
      <c r="AJ75" s="411"/>
      <c r="AK75" s="411"/>
      <c r="AL75" s="411"/>
      <c r="AM75" s="411"/>
      <c r="AN75" s="411"/>
      <c r="AO75" s="411"/>
      <c r="AP75" s="411"/>
      <c r="AQ75" s="411"/>
      <c r="AR75" s="411"/>
      <c r="AS75" s="411"/>
      <c r="AT75" s="411"/>
      <c r="AU75" s="411"/>
      <c r="AV75" s="411"/>
      <c r="AW75" s="411"/>
      <c r="AX75" s="411"/>
      <c r="AY75" s="411"/>
      <c r="AZ75" s="411"/>
      <c r="BA75" s="411"/>
      <c r="BB75" s="411"/>
      <c r="BC75" s="411"/>
      <c r="BD75" s="411"/>
      <c r="BE75" s="411"/>
      <c r="BF75" s="411"/>
      <c r="BG75" s="411"/>
      <c r="BH75" s="411"/>
      <c r="BI75" s="411"/>
      <c r="BJ75" s="411"/>
    </row>
    <row r="76" spans="1:62" s="295" customFormat="1">
      <c r="A76" s="312"/>
      <c r="B76" s="312">
        <f t="shared" ref="B76:G91" si="4">B19</f>
        <v>0</v>
      </c>
      <c r="C76" s="313" t="str">
        <f t="shared" si="4"/>
        <v/>
      </c>
      <c r="D76" s="313">
        <f t="shared" si="4"/>
        <v>0</v>
      </c>
      <c r="E76" s="313">
        <f t="shared" si="4"/>
        <v>0</v>
      </c>
      <c r="F76" s="314" t="str">
        <f t="shared" si="4"/>
        <v xml:space="preserve"> </v>
      </c>
      <c r="G76" s="315" t="str">
        <f t="shared" si="4"/>
        <v xml:space="preserve"> </v>
      </c>
      <c r="H76" s="316" t="str">
        <f t="shared" ref="H76:W76" si="5">IF($B76&gt;0,(IF($C76="F",H19*$G19,(H19/($F19/100))*$G19))," ")</f>
        <v xml:space="preserve"> </v>
      </c>
      <c r="I76" s="316" t="str">
        <f t="shared" si="5"/>
        <v xml:space="preserve"> </v>
      </c>
      <c r="J76" s="316" t="str">
        <f t="shared" si="5"/>
        <v xml:space="preserve"> </v>
      </c>
      <c r="K76" s="315" t="str">
        <f t="shared" si="5"/>
        <v xml:space="preserve"> </v>
      </c>
      <c r="L76" s="316" t="str">
        <f t="shared" si="5"/>
        <v xml:space="preserve"> </v>
      </c>
      <c r="M76" s="316" t="str">
        <f t="shared" si="5"/>
        <v xml:space="preserve"> </v>
      </c>
      <c r="N76" s="316" t="str">
        <f t="shared" si="5"/>
        <v xml:space="preserve"> </v>
      </c>
      <c r="O76" s="316" t="str">
        <f t="shared" si="5"/>
        <v xml:space="preserve"> </v>
      </c>
      <c r="P76" s="316" t="str">
        <f t="shared" si="5"/>
        <v xml:space="preserve"> </v>
      </c>
      <c r="Q76" s="316" t="str">
        <f t="shared" si="5"/>
        <v xml:space="preserve"> </v>
      </c>
      <c r="R76" s="316" t="str">
        <f t="shared" si="5"/>
        <v xml:space="preserve"> </v>
      </c>
      <c r="S76" s="316" t="str">
        <f t="shared" si="5"/>
        <v xml:space="preserve"> </v>
      </c>
      <c r="T76" s="316" t="str">
        <f t="shared" si="5"/>
        <v xml:space="preserve"> </v>
      </c>
      <c r="U76" s="316" t="str">
        <f t="shared" si="5"/>
        <v xml:space="preserve"> </v>
      </c>
      <c r="V76" s="316" t="str">
        <f t="shared" si="5"/>
        <v xml:space="preserve"> </v>
      </c>
      <c r="W76" s="316" t="str">
        <f t="shared" si="5"/>
        <v xml:space="preserve"> </v>
      </c>
      <c r="AC76" s="411"/>
      <c r="AD76" s="411"/>
      <c r="AE76" s="411"/>
      <c r="AF76" s="411"/>
      <c r="AG76" s="411"/>
      <c r="AH76" s="411"/>
      <c r="AI76" s="411"/>
      <c r="AJ76" s="411"/>
      <c r="AK76" s="411"/>
      <c r="AL76" s="411"/>
      <c r="AM76" s="411"/>
      <c r="AN76" s="411"/>
      <c r="AO76" s="411"/>
      <c r="AP76" s="411"/>
      <c r="AQ76" s="411"/>
      <c r="AR76" s="411"/>
      <c r="AS76" s="411"/>
      <c r="AT76" s="411"/>
      <c r="AU76" s="411"/>
      <c r="AV76" s="411"/>
      <c r="AW76" s="411"/>
      <c r="AX76" s="411"/>
      <c r="AY76" s="411"/>
      <c r="AZ76" s="411"/>
      <c r="BA76" s="411"/>
      <c r="BB76" s="411"/>
      <c r="BC76" s="411"/>
      <c r="BD76" s="411"/>
      <c r="BE76" s="411"/>
      <c r="BF76" s="411"/>
      <c r="BG76" s="411"/>
      <c r="BH76" s="411"/>
      <c r="BI76" s="411"/>
      <c r="BJ76" s="411"/>
    </row>
    <row r="77" spans="1:62" s="295" customFormat="1">
      <c r="A77" s="312"/>
      <c r="B77" s="312">
        <f t="shared" si="4"/>
        <v>0</v>
      </c>
      <c r="C77" s="313" t="str">
        <f t="shared" si="4"/>
        <v/>
      </c>
      <c r="D77" s="313">
        <f t="shared" si="4"/>
        <v>0</v>
      </c>
      <c r="E77" s="313">
        <f t="shared" si="4"/>
        <v>0</v>
      </c>
      <c r="F77" s="314" t="str">
        <f t="shared" si="4"/>
        <v xml:space="preserve"> </v>
      </c>
      <c r="G77" s="315" t="str">
        <f t="shared" si="4"/>
        <v xml:space="preserve"> </v>
      </c>
      <c r="H77" s="316" t="str">
        <f t="shared" ref="H77:W77" si="6">IF($B77&gt;0,(IF($C77="F",H20*$G20,(H20/($F20/100))*$G20))," ")</f>
        <v xml:space="preserve"> </v>
      </c>
      <c r="I77" s="316" t="str">
        <f t="shared" si="6"/>
        <v xml:space="preserve"> </v>
      </c>
      <c r="J77" s="316" t="str">
        <f t="shared" si="6"/>
        <v xml:space="preserve"> </v>
      </c>
      <c r="K77" s="315" t="str">
        <f t="shared" si="6"/>
        <v xml:space="preserve"> </v>
      </c>
      <c r="L77" s="316" t="str">
        <f t="shared" si="6"/>
        <v xml:space="preserve"> </v>
      </c>
      <c r="M77" s="316" t="str">
        <f t="shared" si="6"/>
        <v xml:space="preserve"> </v>
      </c>
      <c r="N77" s="316" t="str">
        <f t="shared" si="6"/>
        <v xml:space="preserve"> </v>
      </c>
      <c r="O77" s="316" t="str">
        <f t="shared" si="6"/>
        <v xml:space="preserve"> </v>
      </c>
      <c r="P77" s="316" t="str">
        <f t="shared" si="6"/>
        <v xml:space="preserve"> </v>
      </c>
      <c r="Q77" s="316" t="str">
        <f t="shared" si="6"/>
        <v xml:space="preserve"> </v>
      </c>
      <c r="R77" s="316" t="str">
        <f t="shared" si="6"/>
        <v xml:space="preserve"> </v>
      </c>
      <c r="S77" s="316" t="str">
        <f t="shared" si="6"/>
        <v xml:space="preserve"> </v>
      </c>
      <c r="T77" s="316" t="str">
        <f t="shared" si="6"/>
        <v xml:space="preserve"> </v>
      </c>
      <c r="U77" s="316" t="str">
        <f t="shared" si="6"/>
        <v xml:space="preserve"> </v>
      </c>
      <c r="V77" s="316" t="str">
        <f t="shared" si="6"/>
        <v xml:space="preserve"> </v>
      </c>
      <c r="W77" s="316" t="str">
        <f t="shared" si="6"/>
        <v xml:space="preserve"> </v>
      </c>
      <c r="AC77" s="411"/>
      <c r="AD77" s="411"/>
      <c r="AE77" s="411"/>
      <c r="AF77" s="411"/>
      <c r="AG77" s="411"/>
      <c r="AH77" s="411"/>
      <c r="AI77" s="411"/>
      <c r="AJ77" s="411"/>
      <c r="AK77" s="411"/>
      <c r="AL77" s="411"/>
      <c r="AM77" s="411"/>
      <c r="AN77" s="411"/>
      <c r="AO77" s="411"/>
      <c r="AP77" s="411"/>
      <c r="AQ77" s="411"/>
      <c r="AR77" s="411"/>
      <c r="AS77" s="411"/>
      <c r="AT77" s="411"/>
      <c r="AU77" s="411"/>
      <c r="AV77" s="411"/>
      <c r="AW77" s="411"/>
      <c r="AX77" s="411"/>
      <c r="AY77" s="411"/>
      <c r="AZ77" s="411"/>
      <c r="BA77" s="411"/>
      <c r="BB77" s="411"/>
      <c r="BC77" s="411"/>
      <c r="BD77" s="411"/>
      <c r="BE77" s="411"/>
      <c r="BF77" s="411"/>
      <c r="BG77" s="411"/>
      <c r="BH77" s="411"/>
      <c r="BI77" s="411"/>
      <c r="BJ77" s="411"/>
    </row>
    <row r="78" spans="1:62" s="295" customFormat="1">
      <c r="A78" s="312"/>
      <c r="B78" s="312">
        <f t="shared" si="4"/>
        <v>0</v>
      </c>
      <c r="C78" s="313" t="str">
        <f t="shared" si="4"/>
        <v/>
      </c>
      <c r="D78" s="313">
        <f t="shared" si="4"/>
        <v>0</v>
      </c>
      <c r="E78" s="313">
        <f t="shared" si="4"/>
        <v>0</v>
      </c>
      <c r="F78" s="314" t="str">
        <f t="shared" si="4"/>
        <v xml:space="preserve"> </v>
      </c>
      <c r="G78" s="315" t="str">
        <f t="shared" si="4"/>
        <v xml:space="preserve"> </v>
      </c>
      <c r="H78" s="316" t="str">
        <f t="shared" ref="H78:W78" si="7">IF($B78&gt;0,(IF($C78="F",H21*$G21,(H21/($F21/100))*$G21))," ")</f>
        <v xml:space="preserve"> </v>
      </c>
      <c r="I78" s="316" t="str">
        <f t="shared" si="7"/>
        <v xml:space="preserve"> </v>
      </c>
      <c r="J78" s="316" t="str">
        <f t="shared" si="7"/>
        <v xml:space="preserve"> </v>
      </c>
      <c r="K78" s="315" t="str">
        <f t="shared" si="7"/>
        <v xml:space="preserve"> </v>
      </c>
      <c r="L78" s="316" t="str">
        <f t="shared" si="7"/>
        <v xml:space="preserve"> </v>
      </c>
      <c r="M78" s="316" t="str">
        <f t="shared" si="7"/>
        <v xml:space="preserve"> </v>
      </c>
      <c r="N78" s="316" t="str">
        <f t="shared" si="7"/>
        <v xml:space="preserve"> </v>
      </c>
      <c r="O78" s="316" t="str">
        <f t="shared" si="7"/>
        <v xml:space="preserve"> </v>
      </c>
      <c r="P78" s="316" t="str">
        <f t="shared" si="7"/>
        <v xml:space="preserve"> </v>
      </c>
      <c r="Q78" s="316" t="str">
        <f t="shared" si="7"/>
        <v xml:space="preserve"> </v>
      </c>
      <c r="R78" s="316" t="str">
        <f t="shared" si="7"/>
        <v xml:space="preserve"> </v>
      </c>
      <c r="S78" s="316" t="str">
        <f t="shared" si="7"/>
        <v xml:space="preserve"> </v>
      </c>
      <c r="T78" s="316" t="str">
        <f t="shared" si="7"/>
        <v xml:space="preserve"> </v>
      </c>
      <c r="U78" s="316" t="str">
        <f t="shared" si="7"/>
        <v xml:space="preserve"> </v>
      </c>
      <c r="V78" s="316" t="str">
        <f t="shared" si="7"/>
        <v xml:space="preserve"> </v>
      </c>
      <c r="W78" s="316" t="str">
        <f t="shared" si="7"/>
        <v xml:space="preserve"> </v>
      </c>
      <c r="AC78" s="411"/>
      <c r="AD78" s="411"/>
      <c r="AE78" s="411"/>
      <c r="AF78" s="411"/>
      <c r="AG78" s="411"/>
      <c r="AH78" s="411"/>
      <c r="AI78" s="411"/>
      <c r="AJ78" s="411"/>
      <c r="AK78" s="411"/>
      <c r="AL78" s="411"/>
      <c r="AM78" s="411"/>
      <c r="AN78" s="411"/>
      <c r="AO78" s="411"/>
      <c r="AP78" s="411"/>
      <c r="AQ78" s="411"/>
      <c r="AR78" s="411"/>
      <c r="AS78" s="411"/>
      <c r="AT78" s="411"/>
      <c r="AU78" s="411"/>
      <c r="AV78" s="411"/>
      <c r="AW78" s="411"/>
      <c r="AX78" s="411"/>
      <c r="AY78" s="411"/>
      <c r="AZ78" s="411"/>
      <c r="BA78" s="411"/>
      <c r="BB78" s="411"/>
      <c r="BC78" s="411"/>
      <c r="BD78" s="411"/>
      <c r="BE78" s="411"/>
      <c r="BF78" s="411"/>
      <c r="BG78" s="411"/>
      <c r="BH78" s="411"/>
      <c r="BI78" s="411"/>
      <c r="BJ78" s="411"/>
    </row>
    <row r="79" spans="1:62" s="295" customFormat="1">
      <c r="A79" s="312"/>
      <c r="B79" s="312">
        <f t="shared" si="4"/>
        <v>0</v>
      </c>
      <c r="C79" s="313" t="str">
        <f t="shared" si="4"/>
        <v/>
      </c>
      <c r="D79" s="313">
        <f t="shared" si="4"/>
        <v>0</v>
      </c>
      <c r="E79" s="313">
        <f t="shared" si="4"/>
        <v>0</v>
      </c>
      <c r="F79" s="314" t="str">
        <f t="shared" si="4"/>
        <v xml:space="preserve"> </v>
      </c>
      <c r="G79" s="315" t="str">
        <f t="shared" si="4"/>
        <v xml:space="preserve"> </v>
      </c>
      <c r="H79" s="316" t="str">
        <f t="shared" ref="H79:W79" si="8">IF($B79&gt;0,(IF($C79="F",H22*$G22,(H22/($F22/100))*$G22))," ")</f>
        <v xml:space="preserve"> </v>
      </c>
      <c r="I79" s="316" t="str">
        <f t="shared" si="8"/>
        <v xml:space="preserve"> </v>
      </c>
      <c r="J79" s="316" t="str">
        <f t="shared" si="8"/>
        <v xml:space="preserve"> </v>
      </c>
      <c r="K79" s="315" t="str">
        <f t="shared" si="8"/>
        <v xml:space="preserve"> </v>
      </c>
      <c r="L79" s="316" t="str">
        <f t="shared" si="8"/>
        <v xml:space="preserve"> </v>
      </c>
      <c r="M79" s="316" t="str">
        <f t="shared" si="8"/>
        <v xml:space="preserve"> </v>
      </c>
      <c r="N79" s="316" t="str">
        <f t="shared" si="8"/>
        <v xml:space="preserve"> </v>
      </c>
      <c r="O79" s="316" t="str">
        <f t="shared" si="8"/>
        <v xml:space="preserve"> </v>
      </c>
      <c r="P79" s="316" t="str">
        <f t="shared" si="8"/>
        <v xml:space="preserve"> </v>
      </c>
      <c r="Q79" s="316" t="str">
        <f t="shared" si="8"/>
        <v xml:space="preserve"> </v>
      </c>
      <c r="R79" s="316" t="str">
        <f t="shared" si="8"/>
        <v xml:space="preserve"> </v>
      </c>
      <c r="S79" s="316" t="str">
        <f t="shared" si="8"/>
        <v xml:space="preserve"> </v>
      </c>
      <c r="T79" s="316" t="str">
        <f t="shared" si="8"/>
        <v xml:space="preserve"> </v>
      </c>
      <c r="U79" s="316" t="str">
        <f t="shared" si="8"/>
        <v xml:space="preserve"> </v>
      </c>
      <c r="V79" s="316" t="str">
        <f t="shared" si="8"/>
        <v xml:space="preserve"> </v>
      </c>
      <c r="W79" s="316" t="str">
        <f t="shared" si="8"/>
        <v xml:space="preserve"> </v>
      </c>
      <c r="AC79" s="411"/>
      <c r="AD79" s="411"/>
      <c r="AE79" s="411"/>
      <c r="AF79" s="411"/>
      <c r="AG79" s="411"/>
      <c r="AH79" s="411"/>
      <c r="AI79" s="411"/>
      <c r="AJ79" s="411"/>
      <c r="AK79" s="411"/>
      <c r="AL79" s="411"/>
      <c r="AM79" s="411"/>
      <c r="AN79" s="411"/>
      <c r="AO79" s="411"/>
      <c r="AP79" s="411"/>
      <c r="AQ79" s="411"/>
      <c r="AR79" s="411"/>
      <c r="AS79" s="411"/>
      <c r="AT79" s="411"/>
      <c r="AU79" s="411"/>
      <c r="AV79" s="411"/>
      <c r="AW79" s="411"/>
      <c r="AX79" s="411"/>
      <c r="AY79" s="411"/>
      <c r="AZ79" s="411"/>
      <c r="BA79" s="411"/>
      <c r="BB79" s="411"/>
      <c r="BC79" s="411"/>
      <c r="BD79" s="411"/>
      <c r="BE79" s="411"/>
      <c r="BF79" s="411"/>
      <c r="BG79" s="411"/>
      <c r="BH79" s="411"/>
      <c r="BI79" s="411"/>
      <c r="BJ79" s="411"/>
    </row>
    <row r="80" spans="1:62" s="295" customFormat="1">
      <c r="A80" s="312"/>
      <c r="B80" s="312">
        <f t="shared" si="4"/>
        <v>0</v>
      </c>
      <c r="C80" s="313" t="str">
        <f t="shared" si="4"/>
        <v/>
      </c>
      <c r="D80" s="313">
        <f t="shared" si="4"/>
        <v>0</v>
      </c>
      <c r="E80" s="313">
        <f t="shared" si="4"/>
        <v>0</v>
      </c>
      <c r="F80" s="314" t="str">
        <f t="shared" si="4"/>
        <v xml:space="preserve"> </v>
      </c>
      <c r="G80" s="315" t="str">
        <f t="shared" si="4"/>
        <v xml:space="preserve"> </v>
      </c>
      <c r="H80" s="316" t="str">
        <f t="shared" ref="H80:W80" si="9">IF($B80&gt;0,(IF($C80="F",H23*$G23,(H23/($F23/100))*$G23))," ")</f>
        <v xml:space="preserve"> </v>
      </c>
      <c r="I80" s="316" t="str">
        <f t="shared" si="9"/>
        <v xml:space="preserve"> </v>
      </c>
      <c r="J80" s="316" t="str">
        <f t="shared" si="9"/>
        <v xml:space="preserve"> </v>
      </c>
      <c r="K80" s="315" t="str">
        <f t="shared" si="9"/>
        <v xml:space="preserve"> </v>
      </c>
      <c r="L80" s="316" t="str">
        <f t="shared" si="9"/>
        <v xml:space="preserve"> </v>
      </c>
      <c r="M80" s="316" t="str">
        <f t="shared" si="9"/>
        <v xml:space="preserve"> </v>
      </c>
      <c r="N80" s="316" t="str">
        <f t="shared" si="9"/>
        <v xml:space="preserve"> </v>
      </c>
      <c r="O80" s="316" t="str">
        <f t="shared" si="9"/>
        <v xml:space="preserve"> </v>
      </c>
      <c r="P80" s="316" t="str">
        <f t="shared" si="9"/>
        <v xml:space="preserve"> </v>
      </c>
      <c r="Q80" s="316" t="str">
        <f t="shared" si="9"/>
        <v xml:space="preserve"> </v>
      </c>
      <c r="R80" s="316" t="str">
        <f t="shared" si="9"/>
        <v xml:space="preserve"> </v>
      </c>
      <c r="S80" s="316" t="str">
        <f t="shared" si="9"/>
        <v xml:space="preserve"> </v>
      </c>
      <c r="T80" s="316" t="str">
        <f t="shared" si="9"/>
        <v xml:space="preserve"> </v>
      </c>
      <c r="U80" s="316" t="str">
        <f t="shared" si="9"/>
        <v xml:space="preserve"> </v>
      </c>
      <c r="V80" s="316" t="str">
        <f t="shared" si="9"/>
        <v xml:space="preserve"> </v>
      </c>
      <c r="W80" s="316" t="str">
        <f t="shared" si="9"/>
        <v xml:space="preserve"> </v>
      </c>
      <c r="AC80" s="411"/>
      <c r="AD80" s="411"/>
      <c r="AE80" s="411"/>
      <c r="AF80" s="411"/>
      <c r="AG80" s="411"/>
      <c r="AH80" s="411"/>
      <c r="AI80" s="411"/>
      <c r="AJ80" s="411"/>
      <c r="AK80" s="411"/>
      <c r="AL80" s="411"/>
      <c r="AM80" s="411"/>
      <c r="AN80" s="411"/>
      <c r="AO80" s="411"/>
      <c r="AP80" s="411"/>
      <c r="AQ80" s="411"/>
      <c r="AR80" s="411"/>
      <c r="AS80" s="411"/>
      <c r="AT80" s="411"/>
      <c r="AU80" s="411"/>
      <c r="AV80" s="411"/>
      <c r="AW80" s="411"/>
      <c r="AX80" s="411"/>
      <c r="AY80" s="411"/>
      <c r="AZ80" s="411"/>
      <c r="BA80" s="411"/>
      <c r="BB80" s="411"/>
      <c r="BC80" s="411"/>
      <c r="BD80" s="411"/>
      <c r="BE80" s="411"/>
      <c r="BF80" s="411"/>
      <c r="BG80" s="411"/>
      <c r="BH80" s="411"/>
      <c r="BI80" s="411"/>
      <c r="BJ80" s="411"/>
    </row>
    <row r="81" spans="1:62" s="295" customFormat="1">
      <c r="A81" s="312"/>
      <c r="B81" s="312">
        <f t="shared" si="4"/>
        <v>0</v>
      </c>
      <c r="C81" s="313" t="str">
        <f t="shared" si="4"/>
        <v/>
      </c>
      <c r="D81" s="313">
        <f t="shared" si="4"/>
        <v>0</v>
      </c>
      <c r="E81" s="313">
        <f t="shared" si="4"/>
        <v>0</v>
      </c>
      <c r="F81" s="314" t="str">
        <f t="shared" si="4"/>
        <v xml:space="preserve"> </v>
      </c>
      <c r="G81" s="315" t="str">
        <f t="shared" si="4"/>
        <v xml:space="preserve"> </v>
      </c>
      <c r="H81" s="316" t="str">
        <f t="shared" ref="H81:W81" si="10">IF($B81&gt;0,(IF($C81="F",H24*$G24,(H24/($F24/100))*$G24))," ")</f>
        <v xml:space="preserve"> </v>
      </c>
      <c r="I81" s="316" t="str">
        <f t="shared" si="10"/>
        <v xml:space="preserve"> </v>
      </c>
      <c r="J81" s="316" t="str">
        <f t="shared" si="10"/>
        <v xml:space="preserve"> </v>
      </c>
      <c r="K81" s="315" t="str">
        <f t="shared" si="10"/>
        <v xml:space="preserve"> </v>
      </c>
      <c r="L81" s="316" t="str">
        <f t="shared" si="10"/>
        <v xml:space="preserve"> </v>
      </c>
      <c r="M81" s="316" t="str">
        <f t="shared" si="10"/>
        <v xml:space="preserve"> </v>
      </c>
      <c r="N81" s="316" t="str">
        <f t="shared" si="10"/>
        <v xml:space="preserve"> </v>
      </c>
      <c r="O81" s="316" t="str">
        <f t="shared" si="10"/>
        <v xml:space="preserve"> </v>
      </c>
      <c r="P81" s="316" t="str">
        <f t="shared" si="10"/>
        <v xml:space="preserve"> </v>
      </c>
      <c r="Q81" s="316" t="str">
        <f t="shared" si="10"/>
        <v xml:space="preserve"> </v>
      </c>
      <c r="R81" s="316" t="str">
        <f t="shared" si="10"/>
        <v xml:space="preserve"> </v>
      </c>
      <c r="S81" s="316" t="str">
        <f t="shared" si="10"/>
        <v xml:space="preserve"> </v>
      </c>
      <c r="T81" s="316" t="str">
        <f t="shared" si="10"/>
        <v xml:space="preserve"> </v>
      </c>
      <c r="U81" s="316" t="str">
        <f t="shared" si="10"/>
        <v xml:space="preserve"> </v>
      </c>
      <c r="V81" s="316" t="str">
        <f t="shared" si="10"/>
        <v xml:space="preserve"> </v>
      </c>
      <c r="W81" s="316" t="str">
        <f t="shared" si="10"/>
        <v xml:space="preserve"> </v>
      </c>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1"/>
      <c r="AY81" s="411"/>
      <c r="AZ81" s="411"/>
      <c r="BA81" s="411"/>
      <c r="BB81" s="411"/>
      <c r="BC81" s="411"/>
      <c r="BD81" s="411"/>
      <c r="BE81" s="411"/>
      <c r="BF81" s="411"/>
      <c r="BG81" s="411"/>
      <c r="BH81" s="411"/>
      <c r="BI81" s="411"/>
      <c r="BJ81" s="411"/>
    </row>
    <row r="82" spans="1:62" s="295" customFormat="1">
      <c r="A82" s="312"/>
      <c r="B82" s="312">
        <f t="shared" si="4"/>
        <v>0</v>
      </c>
      <c r="C82" s="313" t="str">
        <f t="shared" si="4"/>
        <v/>
      </c>
      <c r="D82" s="313">
        <f t="shared" si="4"/>
        <v>0</v>
      </c>
      <c r="E82" s="313">
        <f t="shared" si="4"/>
        <v>0</v>
      </c>
      <c r="F82" s="314" t="str">
        <f t="shared" si="4"/>
        <v xml:space="preserve"> </v>
      </c>
      <c r="G82" s="315" t="str">
        <f t="shared" si="4"/>
        <v xml:space="preserve"> </v>
      </c>
      <c r="H82" s="316" t="str">
        <f t="shared" ref="H82:W82" si="11">IF($B82&gt;0,(IF($C82="F",H25*$G25,(H25/($F25/100))*$G25))," ")</f>
        <v xml:space="preserve"> </v>
      </c>
      <c r="I82" s="316" t="str">
        <f t="shared" si="11"/>
        <v xml:space="preserve"> </v>
      </c>
      <c r="J82" s="316" t="str">
        <f t="shared" si="11"/>
        <v xml:space="preserve"> </v>
      </c>
      <c r="K82" s="315" t="str">
        <f t="shared" si="11"/>
        <v xml:space="preserve"> </v>
      </c>
      <c r="L82" s="316" t="str">
        <f t="shared" si="11"/>
        <v xml:space="preserve"> </v>
      </c>
      <c r="M82" s="316" t="str">
        <f t="shared" si="11"/>
        <v xml:space="preserve"> </v>
      </c>
      <c r="N82" s="316" t="str">
        <f t="shared" si="11"/>
        <v xml:space="preserve"> </v>
      </c>
      <c r="O82" s="316" t="str">
        <f t="shared" si="11"/>
        <v xml:space="preserve"> </v>
      </c>
      <c r="P82" s="316" t="str">
        <f t="shared" si="11"/>
        <v xml:space="preserve"> </v>
      </c>
      <c r="Q82" s="316" t="str">
        <f t="shared" si="11"/>
        <v xml:space="preserve"> </v>
      </c>
      <c r="R82" s="316" t="str">
        <f t="shared" si="11"/>
        <v xml:space="preserve"> </v>
      </c>
      <c r="S82" s="316" t="str">
        <f t="shared" si="11"/>
        <v xml:space="preserve"> </v>
      </c>
      <c r="T82" s="316" t="str">
        <f t="shared" si="11"/>
        <v xml:space="preserve"> </v>
      </c>
      <c r="U82" s="316" t="str">
        <f t="shared" si="11"/>
        <v xml:space="preserve"> </v>
      </c>
      <c r="V82" s="316" t="str">
        <f t="shared" si="11"/>
        <v xml:space="preserve"> </v>
      </c>
      <c r="W82" s="316" t="str">
        <f t="shared" si="11"/>
        <v xml:space="preserve"> </v>
      </c>
      <c r="AC82" s="411"/>
      <c r="AD82" s="411"/>
      <c r="AE82" s="411"/>
      <c r="AF82" s="411"/>
      <c r="AG82" s="411"/>
      <c r="AH82" s="411"/>
      <c r="AI82" s="411"/>
      <c r="AJ82" s="411"/>
      <c r="AK82" s="411"/>
      <c r="AL82" s="411"/>
      <c r="AM82" s="411"/>
      <c r="AN82" s="411"/>
      <c r="AO82" s="411"/>
      <c r="AP82" s="411"/>
      <c r="AQ82" s="411"/>
      <c r="AR82" s="411"/>
      <c r="AS82" s="411"/>
      <c r="AT82" s="411"/>
      <c r="AU82" s="411"/>
      <c r="AV82" s="411"/>
      <c r="AW82" s="411"/>
      <c r="AX82" s="411"/>
      <c r="AY82" s="411"/>
      <c r="AZ82" s="411"/>
      <c r="BA82" s="411"/>
      <c r="BB82" s="411"/>
      <c r="BC82" s="411"/>
      <c r="BD82" s="411"/>
      <c r="BE82" s="411"/>
      <c r="BF82" s="411"/>
      <c r="BG82" s="411"/>
      <c r="BH82" s="411"/>
      <c r="BI82" s="411"/>
      <c r="BJ82" s="411"/>
    </row>
    <row r="83" spans="1:62" s="295" customFormat="1">
      <c r="A83" s="312"/>
      <c r="B83" s="312">
        <f t="shared" si="4"/>
        <v>0</v>
      </c>
      <c r="C83" s="313" t="str">
        <f t="shared" si="4"/>
        <v/>
      </c>
      <c r="D83" s="313">
        <f t="shared" si="4"/>
        <v>0</v>
      </c>
      <c r="E83" s="313">
        <f t="shared" si="4"/>
        <v>0</v>
      </c>
      <c r="F83" s="314" t="str">
        <f t="shared" si="4"/>
        <v xml:space="preserve"> </v>
      </c>
      <c r="G83" s="315" t="str">
        <f t="shared" si="4"/>
        <v xml:space="preserve"> </v>
      </c>
      <c r="H83" s="316" t="str">
        <f t="shared" ref="H83:W83" si="12">IF($B83&gt;0,(IF($C83="F",H26*$G26,(H26/($F26/100))*$G26))," ")</f>
        <v xml:space="preserve"> </v>
      </c>
      <c r="I83" s="316" t="str">
        <f t="shared" si="12"/>
        <v xml:space="preserve"> </v>
      </c>
      <c r="J83" s="316" t="str">
        <f t="shared" si="12"/>
        <v xml:space="preserve"> </v>
      </c>
      <c r="K83" s="315" t="str">
        <f t="shared" si="12"/>
        <v xml:space="preserve"> </v>
      </c>
      <c r="L83" s="316" t="str">
        <f t="shared" si="12"/>
        <v xml:space="preserve"> </v>
      </c>
      <c r="M83" s="316" t="str">
        <f t="shared" si="12"/>
        <v xml:space="preserve"> </v>
      </c>
      <c r="N83" s="316" t="str">
        <f t="shared" si="12"/>
        <v xml:space="preserve"> </v>
      </c>
      <c r="O83" s="316" t="str">
        <f t="shared" si="12"/>
        <v xml:space="preserve"> </v>
      </c>
      <c r="P83" s="316" t="str">
        <f t="shared" si="12"/>
        <v xml:space="preserve"> </v>
      </c>
      <c r="Q83" s="316" t="str">
        <f t="shared" si="12"/>
        <v xml:space="preserve"> </v>
      </c>
      <c r="R83" s="316" t="str">
        <f t="shared" si="12"/>
        <v xml:space="preserve"> </v>
      </c>
      <c r="S83" s="316" t="str">
        <f t="shared" si="12"/>
        <v xml:space="preserve"> </v>
      </c>
      <c r="T83" s="316" t="str">
        <f t="shared" si="12"/>
        <v xml:space="preserve"> </v>
      </c>
      <c r="U83" s="316" t="str">
        <f t="shared" si="12"/>
        <v xml:space="preserve"> </v>
      </c>
      <c r="V83" s="316" t="str">
        <f t="shared" si="12"/>
        <v xml:space="preserve"> </v>
      </c>
      <c r="W83" s="316" t="str">
        <f t="shared" si="12"/>
        <v xml:space="preserve"> </v>
      </c>
      <c r="AC83" s="411"/>
      <c r="AD83" s="411"/>
      <c r="AE83" s="411"/>
      <c r="AF83" s="411"/>
      <c r="AG83" s="411"/>
      <c r="AH83" s="411"/>
      <c r="AI83" s="411"/>
      <c r="AJ83" s="411"/>
      <c r="AK83" s="411"/>
      <c r="AL83" s="411"/>
      <c r="AM83" s="411"/>
      <c r="AN83" s="411"/>
      <c r="AO83" s="411"/>
      <c r="AP83" s="411"/>
      <c r="AQ83" s="411"/>
      <c r="AR83" s="411"/>
      <c r="AS83" s="411"/>
      <c r="AT83" s="411"/>
      <c r="AU83" s="411"/>
      <c r="AV83" s="411"/>
      <c r="AW83" s="411"/>
      <c r="AX83" s="411"/>
      <c r="AY83" s="411"/>
      <c r="AZ83" s="411"/>
      <c r="BA83" s="411"/>
      <c r="BB83" s="411"/>
      <c r="BC83" s="411"/>
      <c r="BD83" s="411"/>
      <c r="BE83" s="411"/>
      <c r="BF83" s="411"/>
      <c r="BG83" s="411"/>
      <c r="BH83" s="411"/>
      <c r="BI83" s="411"/>
      <c r="BJ83" s="411"/>
    </row>
    <row r="84" spans="1:62" s="295" customFormat="1">
      <c r="A84" s="312"/>
      <c r="B84" s="312">
        <f t="shared" si="4"/>
        <v>0</v>
      </c>
      <c r="C84" s="313" t="str">
        <f t="shared" si="4"/>
        <v/>
      </c>
      <c r="D84" s="313">
        <f t="shared" si="4"/>
        <v>0</v>
      </c>
      <c r="E84" s="313">
        <f t="shared" si="4"/>
        <v>0</v>
      </c>
      <c r="F84" s="314" t="str">
        <f t="shared" si="4"/>
        <v xml:space="preserve"> </v>
      </c>
      <c r="G84" s="315" t="str">
        <f t="shared" si="4"/>
        <v xml:space="preserve"> </v>
      </c>
      <c r="H84" s="316" t="str">
        <f t="shared" ref="H84:W84" si="13">IF($B84&gt;0,(IF($C84="F",H27*$G27,(H27/($F27/100))*$G27))," ")</f>
        <v xml:space="preserve"> </v>
      </c>
      <c r="I84" s="316" t="str">
        <f t="shared" si="13"/>
        <v xml:space="preserve"> </v>
      </c>
      <c r="J84" s="316" t="str">
        <f t="shared" si="13"/>
        <v xml:space="preserve"> </v>
      </c>
      <c r="K84" s="315" t="str">
        <f t="shared" si="13"/>
        <v xml:space="preserve"> </v>
      </c>
      <c r="L84" s="316" t="str">
        <f t="shared" si="13"/>
        <v xml:space="preserve"> </v>
      </c>
      <c r="M84" s="316" t="str">
        <f t="shared" si="13"/>
        <v xml:space="preserve"> </v>
      </c>
      <c r="N84" s="316" t="str">
        <f t="shared" si="13"/>
        <v xml:space="preserve"> </v>
      </c>
      <c r="O84" s="316" t="str">
        <f t="shared" si="13"/>
        <v xml:space="preserve"> </v>
      </c>
      <c r="P84" s="316" t="str">
        <f t="shared" si="13"/>
        <v xml:space="preserve"> </v>
      </c>
      <c r="Q84" s="316" t="str">
        <f t="shared" si="13"/>
        <v xml:space="preserve"> </v>
      </c>
      <c r="R84" s="316" t="str">
        <f t="shared" si="13"/>
        <v xml:space="preserve"> </v>
      </c>
      <c r="S84" s="316" t="str">
        <f t="shared" si="13"/>
        <v xml:space="preserve"> </v>
      </c>
      <c r="T84" s="316" t="str">
        <f t="shared" si="13"/>
        <v xml:space="preserve"> </v>
      </c>
      <c r="U84" s="316" t="str">
        <f t="shared" si="13"/>
        <v xml:space="preserve"> </v>
      </c>
      <c r="V84" s="316" t="str">
        <f t="shared" si="13"/>
        <v xml:space="preserve"> </v>
      </c>
      <c r="W84" s="316" t="str">
        <f t="shared" si="13"/>
        <v xml:space="preserve"> </v>
      </c>
      <c r="AC84" s="411"/>
      <c r="AD84" s="411"/>
      <c r="AE84" s="411"/>
      <c r="AF84" s="411"/>
      <c r="AG84" s="411"/>
      <c r="AH84" s="411"/>
      <c r="AI84" s="411"/>
      <c r="AJ84" s="411"/>
      <c r="AK84" s="411"/>
      <c r="AL84" s="411"/>
      <c r="AM84" s="411"/>
      <c r="AN84" s="411"/>
      <c r="AO84" s="411"/>
      <c r="AP84" s="411"/>
      <c r="AQ84" s="411"/>
      <c r="AR84" s="411"/>
      <c r="AS84" s="411"/>
      <c r="AT84" s="411"/>
      <c r="AU84" s="411"/>
      <c r="AV84" s="411"/>
      <c r="AW84" s="411"/>
      <c r="AX84" s="411"/>
      <c r="AY84" s="411"/>
      <c r="AZ84" s="411"/>
      <c r="BA84" s="411"/>
      <c r="BB84" s="411"/>
      <c r="BC84" s="411"/>
      <c r="BD84" s="411"/>
      <c r="BE84" s="411"/>
      <c r="BF84" s="411"/>
      <c r="BG84" s="411"/>
      <c r="BH84" s="411"/>
      <c r="BI84" s="411"/>
      <c r="BJ84" s="411"/>
    </row>
    <row r="85" spans="1:62" s="295" customFormat="1">
      <c r="A85" s="312"/>
      <c r="B85" s="312">
        <f t="shared" si="4"/>
        <v>0</v>
      </c>
      <c r="C85" s="313" t="str">
        <f t="shared" si="4"/>
        <v/>
      </c>
      <c r="D85" s="313">
        <f t="shared" si="4"/>
        <v>0</v>
      </c>
      <c r="E85" s="313">
        <f t="shared" si="4"/>
        <v>0</v>
      </c>
      <c r="F85" s="314" t="str">
        <f t="shared" si="4"/>
        <v xml:space="preserve"> </v>
      </c>
      <c r="G85" s="315" t="str">
        <f t="shared" si="4"/>
        <v xml:space="preserve"> </v>
      </c>
      <c r="H85" s="316" t="str">
        <f t="shared" ref="H85:W85" si="14">IF($B85&gt;0,(IF($C85="F",H28*$G28,(H28/($F28/100))*$G28))," ")</f>
        <v xml:space="preserve"> </v>
      </c>
      <c r="I85" s="316" t="str">
        <f t="shared" si="14"/>
        <v xml:space="preserve"> </v>
      </c>
      <c r="J85" s="316" t="str">
        <f t="shared" si="14"/>
        <v xml:space="preserve"> </v>
      </c>
      <c r="K85" s="315" t="str">
        <f t="shared" si="14"/>
        <v xml:space="preserve"> </v>
      </c>
      <c r="L85" s="316" t="str">
        <f t="shared" si="14"/>
        <v xml:space="preserve"> </v>
      </c>
      <c r="M85" s="316" t="str">
        <f t="shared" si="14"/>
        <v xml:space="preserve"> </v>
      </c>
      <c r="N85" s="316" t="str">
        <f t="shared" si="14"/>
        <v xml:space="preserve"> </v>
      </c>
      <c r="O85" s="316" t="str">
        <f t="shared" si="14"/>
        <v xml:space="preserve"> </v>
      </c>
      <c r="P85" s="316" t="str">
        <f t="shared" si="14"/>
        <v xml:space="preserve"> </v>
      </c>
      <c r="Q85" s="316" t="str">
        <f t="shared" si="14"/>
        <v xml:space="preserve"> </v>
      </c>
      <c r="R85" s="316" t="str">
        <f t="shared" si="14"/>
        <v xml:space="preserve"> </v>
      </c>
      <c r="S85" s="316" t="str">
        <f t="shared" si="14"/>
        <v xml:space="preserve"> </v>
      </c>
      <c r="T85" s="316" t="str">
        <f t="shared" si="14"/>
        <v xml:space="preserve"> </v>
      </c>
      <c r="U85" s="316" t="str">
        <f t="shared" si="14"/>
        <v xml:space="preserve"> </v>
      </c>
      <c r="V85" s="316" t="str">
        <f t="shared" si="14"/>
        <v xml:space="preserve"> </v>
      </c>
      <c r="W85" s="316" t="str">
        <f t="shared" si="14"/>
        <v xml:space="preserve"> </v>
      </c>
      <c r="AC85" s="411"/>
      <c r="AD85" s="411"/>
      <c r="AE85" s="411"/>
      <c r="AF85" s="411"/>
      <c r="AG85" s="411"/>
      <c r="AH85" s="411"/>
      <c r="AI85" s="411"/>
      <c r="AJ85" s="411"/>
      <c r="AK85" s="411"/>
      <c r="AL85" s="411"/>
      <c r="AM85" s="411"/>
      <c r="AN85" s="411"/>
      <c r="AO85" s="411"/>
      <c r="AP85" s="411"/>
      <c r="AQ85" s="411"/>
      <c r="AR85" s="411"/>
      <c r="AS85" s="411"/>
      <c r="AT85" s="411"/>
      <c r="AU85" s="411"/>
      <c r="AV85" s="411"/>
      <c r="AW85" s="411"/>
      <c r="AX85" s="411"/>
      <c r="AY85" s="411"/>
      <c r="AZ85" s="411"/>
      <c r="BA85" s="411"/>
      <c r="BB85" s="411"/>
      <c r="BC85" s="411"/>
      <c r="BD85" s="411"/>
      <c r="BE85" s="411"/>
      <c r="BF85" s="411"/>
      <c r="BG85" s="411"/>
      <c r="BH85" s="411"/>
      <c r="BI85" s="411"/>
      <c r="BJ85" s="411"/>
    </row>
    <row r="86" spans="1:62" s="295" customFormat="1">
      <c r="A86" s="312"/>
      <c r="B86" s="312">
        <f t="shared" si="4"/>
        <v>0</v>
      </c>
      <c r="C86" s="313" t="str">
        <f t="shared" si="4"/>
        <v/>
      </c>
      <c r="D86" s="313">
        <f t="shared" si="4"/>
        <v>0</v>
      </c>
      <c r="E86" s="313">
        <f t="shared" si="4"/>
        <v>0</v>
      </c>
      <c r="F86" s="314" t="str">
        <f t="shared" si="4"/>
        <v xml:space="preserve"> </v>
      </c>
      <c r="G86" s="315" t="str">
        <f t="shared" si="4"/>
        <v xml:space="preserve"> </v>
      </c>
      <c r="H86" s="316" t="str">
        <f t="shared" ref="H86:W86" si="15">IF($B86&gt;0,(IF($C86="F",H29*$G29,(H29/($F29/100))*$G29))," ")</f>
        <v xml:space="preserve"> </v>
      </c>
      <c r="I86" s="316" t="str">
        <f t="shared" si="15"/>
        <v xml:space="preserve"> </v>
      </c>
      <c r="J86" s="316" t="str">
        <f t="shared" si="15"/>
        <v xml:space="preserve"> </v>
      </c>
      <c r="K86" s="315" t="str">
        <f t="shared" si="15"/>
        <v xml:space="preserve"> </v>
      </c>
      <c r="L86" s="316" t="str">
        <f t="shared" si="15"/>
        <v xml:space="preserve"> </v>
      </c>
      <c r="M86" s="316" t="str">
        <f t="shared" si="15"/>
        <v xml:space="preserve"> </v>
      </c>
      <c r="N86" s="316" t="str">
        <f t="shared" si="15"/>
        <v xml:space="preserve"> </v>
      </c>
      <c r="O86" s="316" t="str">
        <f t="shared" si="15"/>
        <v xml:space="preserve"> </v>
      </c>
      <c r="P86" s="316" t="str">
        <f t="shared" si="15"/>
        <v xml:space="preserve"> </v>
      </c>
      <c r="Q86" s="316" t="str">
        <f t="shared" si="15"/>
        <v xml:space="preserve"> </v>
      </c>
      <c r="R86" s="316" t="str">
        <f t="shared" si="15"/>
        <v xml:space="preserve"> </v>
      </c>
      <c r="S86" s="316" t="str">
        <f t="shared" si="15"/>
        <v xml:space="preserve"> </v>
      </c>
      <c r="T86" s="316" t="str">
        <f t="shared" si="15"/>
        <v xml:space="preserve"> </v>
      </c>
      <c r="U86" s="316" t="str">
        <f t="shared" si="15"/>
        <v xml:space="preserve"> </v>
      </c>
      <c r="V86" s="316" t="str">
        <f t="shared" si="15"/>
        <v xml:space="preserve"> </v>
      </c>
      <c r="W86" s="316" t="str">
        <f t="shared" si="15"/>
        <v xml:space="preserve"> </v>
      </c>
      <c r="AC86" s="411"/>
      <c r="AD86" s="411"/>
      <c r="AE86" s="411"/>
      <c r="AF86" s="411"/>
      <c r="AG86" s="411"/>
      <c r="AH86" s="411"/>
      <c r="AI86" s="411"/>
      <c r="AJ86" s="411"/>
      <c r="AK86" s="411"/>
      <c r="AL86" s="411"/>
      <c r="AM86" s="411"/>
      <c r="AN86" s="411"/>
      <c r="AO86" s="411"/>
      <c r="AP86" s="411"/>
      <c r="AQ86" s="411"/>
      <c r="AR86" s="411"/>
      <c r="AS86" s="411"/>
      <c r="AT86" s="411"/>
      <c r="AU86" s="411"/>
      <c r="AV86" s="411"/>
      <c r="AW86" s="411"/>
      <c r="AX86" s="411"/>
      <c r="AY86" s="411"/>
      <c r="AZ86" s="411"/>
      <c r="BA86" s="411"/>
      <c r="BB86" s="411"/>
      <c r="BC86" s="411"/>
      <c r="BD86" s="411"/>
      <c r="BE86" s="411"/>
      <c r="BF86" s="411"/>
      <c r="BG86" s="411"/>
      <c r="BH86" s="411"/>
      <c r="BI86" s="411"/>
      <c r="BJ86" s="411"/>
    </row>
    <row r="87" spans="1:62" s="295" customFormat="1">
      <c r="A87" s="312"/>
      <c r="B87" s="312">
        <f t="shared" si="4"/>
        <v>0</v>
      </c>
      <c r="C87" s="313" t="str">
        <f t="shared" si="4"/>
        <v/>
      </c>
      <c r="D87" s="313">
        <f t="shared" si="4"/>
        <v>0</v>
      </c>
      <c r="E87" s="313">
        <f t="shared" si="4"/>
        <v>0</v>
      </c>
      <c r="F87" s="314" t="str">
        <f t="shared" si="4"/>
        <v xml:space="preserve"> </v>
      </c>
      <c r="G87" s="315" t="str">
        <f t="shared" si="4"/>
        <v xml:space="preserve"> </v>
      </c>
      <c r="H87" s="316" t="str">
        <f t="shared" ref="H87:W87" si="16">IF($B87&gt;0,(IF($C87="F",H30*$G30,(H30/($F30/100))*$G30))," ")</f>
        <v xml:space="preserve"> </v>
      </c>
      <c r="I87" s="316" t="str">
        <f t="shared" si="16"/>
        <v xml:space="preserve"> </v>
      </c>
      <c r="J87" s="316" t="str">
        <f t="shared" si="16"/>
        <v xml:space="preserve"> </v>
      </c>
      <c r="K87" s="315" t="str">
        <f t="shared" si="16"/>
        <v xml:space="preserve"> </v>
      </c>
      <c r="L87" s="316" t="str">
        <f t="shared" si="16"/>
        <v xml:space="preserve"> </v>
      </c>
      <c r="M87" s="316" t="str">
        <f t="shared" si="16"/>
        <v xml:space="preserve"> </v>
      </c>
      <c r="N87" s="316" t="str">
        <f t="shared" si="16"/>
        <v xml:space="preserve"> </v>
      </c>
      <c r="O87" s="316" t="str">
        <f t="shared" si="16"/>
        <v xml:space="preserve"> </v>
      </c>
      <c r="P87" s="316" t="str">
        <f t="shared" si="16"/>
        <v xml:space="preserve"> </v>
      </c>
      <c r="Q87" s="316" t="str">
        <f t="shared" si="16"/>
        <v xml:space="preserve"> </v>
      </c>
      <c r="R87" s="316" t="str">
        <f t="shared" si="16"/>
        <v xml:space="preserve"> </v>
      </c>
      <c r="S87" s="316" t="str">
        <f t="shared" si="16"/>
        <v xml:space="preserve"> </v>
      </c>
      <c r="T87" s="316" t="str">
        <f t="shared" si="16"/>
        <v xml:space="preserve"> </v>
      </c>
      <c r="U87" s="316" t="str">
        <f t="shared" si="16"/>
        <v xml:space="preserve"> </v>
      </c>
      <c r="V87" s="316" t="str">
        <f t="shared" si="16"/>
        <v xml:space="preserve"> </v>
      </c>
      <c r="W87" s="316" t="str">
        <f t="shared" si="16"/>
        <v xml:space="preserve"> </v>
      </c>
      <c r="AC87" s="411"/>
      <c r="AD87" s="411"/>
      <c r="AE87" s="411"/>
      <c r="AF87" s="411"/>
      <c r="AG87" s="411"/>
      <c r="AH87" s="411"/>
      <c r="AI87" s="411"/>
      <c r="AJ87" s="411"/>
      <c r="AK87" s="411"/>
      <c r="AL87" s="411"/>
      <c r="AM87" s="411"/>
      <c r="AN87" s="411"/>
      <c r="AO87" s="411"/>
      <c r="AP87" s="411"/>
      <c r="AQ87" s="411"/>
      <c r="AR87" s="411"/>
      <c r="AS87" s="411"/>
      <c r="AT87" s="411"/>
      <c r="AU87" s="411"/>
      <c r="AV87" s="411"/>
      <c r="AW87" s="411"/>
      <c r="AX87" s="411"/>
      <c r="AY87" s="411"/>
      <c r="AZ87" s="411"/>
      <c r="BA87" s="411"/>
      <c r="BB87" s="411"/>
      <c r="BC87" s="411"/>
      <c r="BD87" s="411"/>
      <c r="BE87" s="411"/>
      <c r="BF87" s="411"/>
      <c r="BG87" s="411"/>
      <c r="BH87" s="411"/>
      <c r="BI87" s="411"/>
      <c r="BJ87" s="411"/>
    </row>
    <row r="88" spans="1:62" s="295" customFormat="1">
      <c r="A88" s="312"/>
      <c r="B88" s="312">
        <f t="shared" si="4"/>
        <v>0</v>
      </c>
      <c r="C88" s="313" t="str">
        <f t="shared" si="4"/>
        <v/>
      </c>
      <c r="D88" s="313">
        <f t="shared" si="4"/>
        <v>0</v>
      </c>
      <c r="E88" s="313">
        <f t="shared" si="4"/>
        <v>0</v>
      </c>
      <c r="F88" s="314" t="str">
        <f t="shared" si="4"/>
        <v xml:space="preserve"> </v>
      </c>
      <c r="G88" s="315" t="str">
        <f t="shared" si="4"/>
        <v xml:space="preserve"> </v>
      </c>
      <c r="H88" s="316" t="str">
        <f t="shared" ref="H88:W88" si="17">IF($B88&gt;0,(IF($C88="F",H31*$G31,(H31/($F31/100))*$G31))," ")</f>
        <v xml:space="preserve"> </v>
      </c>
      <c r="I88" s="316" t="str">
        <f t="shared" si="17"/>
        <v xml:space="preserve"> </v>
      </c>
      <c r="J88" s="316" t="str">
        <f t="shared" si="17"/>
        <v xml:space="preserve"> </v>
      </c>
      <c r="K88" s="315" t="str">
        <f t="shared" si="17"/>
        <v xml:space="preserve"> </v>
      </c>
      <c r="L88" s="316" t="str">
        <f t="shared" si="17"/>
        <v xml:space="preserve"> </v>
      </c>
      <c r="M88" s="316" t="str">
        <f t="shared" si="17"/>
        <v xml:space="preserve"> </v>
      </c>
      <c r="N88" s="316" t="str">
        <f t="shared" si="17"/>
        <v xml:space="preserve"> </v>
      </c>
      <c r="O88" s="316" t="str">
        <f t="shared" si="17"/>
        <v xml:space="preserve"> </v>
      </c>
      <c r="P88" s="316" t="str">
        <f t="shared" si="17"/>
        <v xml:space="preserve"> </v>
      </c>
      <c r="Q88" s="316" t="str">
        <f t="shared" si="17"/>
        <v xml:space="preserve"> </v>
      </c>
      <c r="R88" s="316" t="str">
        <f t="shared" si="17"/>
        <v xml:space="preserve"> </v>
      </c>
      <c r="S88" s="316" t="str">
        <f t="shared" si="17"/>
        <v xml:space="preserve"> </v>
      </c>
      <c r="T88" s="316" t="str">
        <f t="shared" si="17"/>
        <v xml:space="preserve"> </v>
      </c>
      <c r="U88" s="316" t="str">
        <f t="shared" si="17"/>
        <v xml:space="preserve"> </v>
      </c>
      <c r="V88" s="316" t="str">
        <f t="shared" si="17"/>
        <v xml:space="preserve"> </v>
      </c>
      <c r="W88" s="316" t="str">
        <f t="shared" si="17"/>
        <v xml:space="preserve"> </v>
      </c>
      <c r="AC88" s="411"/>
      <c r="AD88" s="411"/>
      <c r="AE88" s="411"/>
      <c r="AF88" s="411"/>
      <c r="AG88" s="411"/>
      <c r="AH88" s="411"/>
      <c r="AI88" s="411"/>
      <c r="AJ88" s="411"/>
      <c r="AK88" s="411"/>
      <c r="AL88" s="411"/>
      <c r="AM88" s="411"/>
      <c r="AN88" s="411"/>
      <c r="AO88" s="411"/>
      <c r="AP88" s="411"/>
      <c r="AQ88" s="411"/>
      <c r="AR88" s="411"/>
      <c r="AS88" s="411"/>
      <c r="AT88" s="411"/>
      <c r="AU88" s="411"/>
      <c r="AV88" s="411"/>
      <c r="AW88" s="411"/>
      <c r="AX88" s="411"/>
      <c r="AY88" s="411"/>
      <c r="AZ88" s="411"/>
      <c r="BA88" s="411"/>
      <c r="BB88" s="411"/>
      <c r="BC88" s="411"/>
      <c r="BD88" s="411"/>
      <c r="BE88" s="411"/>
      <c r="BF88" s="411"/>
      <c r="BG88" s="411"/>
      <c r="BH88" s="411"/>
      <c r="BI88" s="411"/>
      <c r="BJ88" s="411"/>
    </row>
    <row r="89" spans="1:62" s="295" customFormat="1">
      <c r="A89" s="312"/>
      <c r="B89" s="312">
        <f t="shared" si="4"/>
        <v>0</v>
      </c>
      <c r="C89" s="313" t="str">
        <f t="shared" si="4"/>
        <v/>
      </c>
      <c r="D89" s="313">
        <f t="shared" si="4"/>
        <v>0</v>
      </c>
      <c r="E89" s="313">
        <f t="shared" si="4"/>
        <v>0</v>
      </c>
      <c r="F89" s="314" t="str">
        <f t="shared" si="4"/>
        <v xml:space="preserve"> </v>
      </c>
      <c r="G89" s="315" t="str">
        <f t="shared" si="4"/>
        <v xml:space="preserve"> </v>
      </c>
      <c r="H89" s="316" t="str">
        <f t="shared" ref="H89:W89" si="18">IF($B89&gt;0,(IF($C89="F",H32*$G32,(H32/($F32/100))*$G32))," ")</f>
        <v xml:space="preserve"> </v>
      </c>
      <c r="I89" s="316" t="str">
        <f t="shared" si="18"/>
        <v xml:space="preserve"> </v>
      </c>
      <c r="J89" s="316" t="str">
        <f t="shared" si="18"/>
        <v xml:space="preserve"> </v>
      </c>
      <c r="K89" s="315" t="str">
        <f t="shared" si="18"/>
        <v xml:space="preserve"> </v>
      </c>
      <c r="L89" s="316" t="str">
        <f t="shared" si="18"/>
        <v xml:space="preserve"> </v>
      </c>
      <c r="M89" s="316" t="str">
        <f t="shared" si="18"/>
        <v xml:space="preserve"> </v>
      </c>
      <c r="N89" s="316" t="str">
        <f t="shared" si="18"/>
        <v xml:space="preserve"> </v>
      </c>
      <c r="O89" s="316" t="str">
        <f t="shared" si="18"/>
        <v xml:space="preserve"> </v>
      </c>
      <c r="P89" s="316" t="str">
        <f t="shared" si="18"/>
        <v xml:space="preserve"> </v>
      </c>
      <c r="Q89" s="316" t="str">
        <f t="shared" si="18"/>
        <v xml:space="preserve"> </v>
      </c>
      <c r="R89" s="316" t="str">
        <f t="shared" si="18"/>
        <v xml:space="preserve"> </v>
      </c>
      <c r="S89" s="316" t="str">
        <f t="shared" si="18"/>
        <v xml:space="preserve"> </v>
      </c>
      <c r="T89" s="316" t="str">
        <f t="shared" si="18"/>
        <v xml:space="preserve"> </v>
      </c>
      <c r="U89" s="316" t="str">
        <f t="shared" si="18"/>
        <v xml:space="preserve"> </v>
      </c>
      <c r="V89" s="316" t="str">
        <f t="shared" si="18"/>
        <v xml:space="preserve"> </v>
      </c>
      <c r="W89" s="316" t="str">
        <f t="shared" si="18"/>
        <v xml:space="preserve"> </v>
      </c>
      <c r="AC89" s="411"/>
      <c r="AD89" s="411"/>
      <c r="AE89" s="411"/>
      <c r="AF89" s="411"/>
      <c r="AG89" s="411"/>
      <c r="AH89" s="411"/>
      <c r="AI89" s="411"/>
      <c r="AJ89" s="411"/>
      <c r="AK89" s="411"/>
      <c r="AL89" s="411"/>
      <c r="AM89" s="411"/>
      <c r="AN89" s="411"/>
      <c r="AO89" s="411"/>
      <c r="AP89" s="411"/>
      <c r="AQ89" s="411"/>
      <c r="AR89" s="411"/>
      <c r="AS89" s="411"/>
      <c r="AT89" s="411"/>
      <c r="AU89" s="411"/>
      <c r="AV89" s="411"/>
      <c r="AW89" s="411"/>
      <c r="AX89" s="411"/>
      <c r="AY89" s="411"/>
      <c r="AZ89" s="411"/>
      <c r="BA89" s="411"/>
      <c r="BB89" s="411"/>
      <c r="BC89" s="411"/>
      <c r="BD89" s="411"/>
      <c r="BE89" s="411"/>
      <c r="BF89" s="411"/>
      <c r="BG89" s="411"/>
      <c r="BH89" s="411"/>
      <c r="BI89" s="411"/>
      <c r="BJ89" s="411"/>
    </row>
    <row r="90" spans="1:62" s="295" customFormat="1">
      <c r="A90" s="312"/>
      <c r="B90" s="312">
        <f t="shared" si="4"/>
        <v>0</v>
      </c>
      <c r="C90" s="313" t="str">
        <f t="shared" si="4"/>
        <v/>
      </c>
      <c r="D90" s="313">
        <f t="shared" si="4"/>
        <v>0</v>
      </c>
      <c r="E90" s="313">
        <f t="shared" si="4"/>
        <v>0</v>
      </c>
      <c r="F90" s="314" t="str">
        <f t="shared" si="4"/>
        <v xml:space="preserve"> </v>
      </c>
      <c r="G90" s="315" t="str">
        <f t="shared" si="4"/>
        <v xml:space="preserve"> </v>
      </c>
      <c r="H90" s="316" t="str">
        <f t="shared" ref="H90:W90" si="19">IF($B90&gt;0,(IF($C90="F",H33*$G33,(H33/($F33/100))*$G33))," ")</f>
        <v xml:space="preserve"> </v>
      </c>
      <c r="I90" s="316" t="str">
        <f t="shared" si="19"/>
        <v xml:space="preserve"> </v>
      </c>
      <c r="J90" s="316" t="str">
        <f t="shared" si="19"/>
        <v xml:space="preserve"> </v>
      </c>
      <c r="K90" s="315" t="str">
        <f t="shared" si="19"/>
        <v xml:space="preserve"> </v>
      </c>
      <c r="L90" s="316" t="str">
        <f t="shared" si="19"/>
        <v xml:space="preserve"> </v>
      </c>
      <c r="M90" s="316" t="str">
        <f t="shared" si="19"/>
        <v xml:space="preserve"> </v>
      </c>
      <c r="N90" s="316" t="str">
        <f t="shared" si="19"/>
        <v xml:space="preserve"> </v>
      </c>
      <c r="O90" s="316" t="str">
        <f t="shared" si="19"/>
        <v xml:space="preserve"> </v>
      </c>
      <c r="P90" s="316" t="str">
        <f t="shared" si="19"/>
        <v xml:space="preserve"> </v>
      </c>
      <c r="Q90" s="316" t="str">
        <f t="shared" si="19"/>
        <v xml:space="preserve"> </v>
      </c>
      <c r="R90" s="316" t="str">
        <f t="shared" si="19"/>
        <v xml:space="preserve"> </v>
      </c>
      <c r="S90" s="316" t="str">
        <f t="shared" si="19"/>
        <v xml:space="preserve"> </v>
      </c>
      <c r="T90" s="316" t="str">
        <f t="shared" si="19"/>
        <v xml:space="preserve"> </v>
      </c>
      <c r="U90" s="316" t="str">
        <f t="shared" si="19"/>
        <v xml:space="preserve"> </v>
      </c>
      <c r="V90" s="316" t="str">
        <f t="shared" si="19"/>
        <v xml:space="preserve"> </v>
      </c>
      <c r="W90" s="316" t="str">
        <f t="shared" si="19"/>
        <v xml:space="preserve"> </v>
      </c>
      <c r="AC90" s="411"/>
      <c r="AD90" s="411"/>
      <c r="AE90" s="411"/>
      <c r="AF90" s="411"/>
      <c r="AG90" s="411"/>
      <c r="AH90" s="411"/>
      <c r="AI90" s="411"/>
      <c r="AJ90" s="411"/>
      <c r="AK90" s="411"/>
      <c r="AL90" s="411"/>
      <c r="AM90" s="411"/>
      <c r="AN90" s="411"/>
      <c r="AO90" s="411"/>
      <c r="AP90" s="411"/>
      <c r="AQ90" s="411"/>
      <c r="AR90" s="411"/>
      <c r="AS90" s="411"/>
      <c r="AT90" s="411"/>
      <c r="AU90" s="411"/>
      <c r="AV90" s="411"/>
      <c r="AW90" s="411"/>
      <c r="AX90" s="411"/>
      <c r="AY90" s="411"/>
      <c r="AZ90" s="411"/>
      <c r="BA90" s="411"/>
      <c r="BB90" s="411"/>
      <c r="BC90" s="411"/>
      <c r="BD90" s="411"/>
      <c r="BE90" s="411"/>
      <c r="BF90" s="411"/>
      <c r="BG90" s="411"/>
      <c r="BH90" s="411"/>
      <c r="BI90" s="411"/>
      <c r="BJ90" s="411"/>
    </row>
    <row r="91" spans="1:62" s="295" customFormat="1">
      <c r="A91" s="312"/>
      <c r="B91" s="312">
        <f t="shared" si="4"/>
        <v>0</v>
      </c>
      <c r="C91" s="313" t="str">
        <f t="shared" si="4"/>
        <v/>
      </c>
      <c r="D91" s="313">
        <f t="shared" si="4"/>
        <v>0</v>
      </c>
      <c r="E91" s="313">
        <f t="shared" si="4"/>
        <v>0</v>
      </c>
      <c r="F91" s="314" t="str">
        <f t="shared" si="4"/>
        <v xml:space="preserve"> </v>
      </c>
      <c r="G91" s="315" t="str">
        <f t="shared" si="4"/>
        <v xml:space="preserve"> </v>
      </c>
      <c r="H91" s="316" t="str">
        <f t="shared" ref="H91:W91" si="20">IF($B91&gt;0,(IF($C91="F",H34*$G34,(H34/($F34/100))*$G34))," ")</f>
        <v xml:space="preserve"> </v>
      </c>
      <c r="I91" s="316" t="str">
        <f t="shared" si="20"/>
        <v xml:space="preserve"> </v>
      </c>
      <c r="J91" s="316" t="str">
        <f t="shared" si="20"/>
        <v xml:space="preserve"> </v>
      </c>
      <c r="K91" s="315" t="str">
        <f t="shared" si="20"/>
        <v xml:space="preserve"> </v>
      </c>
      <c r="L91" s="316" t="str">
        <f t="shared" si="20"/>
        <v xml:space="preserve"> </v>
      </c>
      <c r="M91" s="316" t="str">
        <f t="shared" si="20"/>
        <v xml:space="preserve"> </v>
      </c>
      <c r="N91" s="316" t="str">
        <f t="shared" si="20"/>
        <v xml:space="preserve"> </v>
      </c>
      <c r="O91" s="316" t="str">
        <f t="shared" si="20"/>
        <v xml:space="preserve"> </v>
      </c>
      <c r="P91" s="316" t="str">
        <f t="shared" si="20"/>
        <v xml:space="preserve"> </v>
      </c>
      <c r="Q91" s="316" t="str">
        <f t="shared" si="20"/>
        <v xml:space="preserve"> </v>
      </c>
      <c r="R91" s="316" t="str">
        <f t="shared" si="20"/>
        <v xml:space="preserve"> </v>
      </c>
      <c r="S91" s="316" t="str">
        <f t="shared" si="20"/>
        <v xml:space="preserve"> </v>
      </c>
      <c r="T91" s="316" t="str">
        <f t="shared" si="20"/>
        <v xml:space="preserve"> </v>
      </c>
      <c r="U91" s="316" t="str">
        <f t="shared" si="20"/>
        <v xml:space="preserve"> </v>
      </c>
      <c r="V91" s="316" t="str">
        <f t="shared" si="20"/>
        <v xml:space="preserve"> </v>
      </c>
      <c r="W91" s="316" t="str">
        <f t="shared" si="20"/>
        <v xml:space="preserve"> </v>
      </c>
      <c r="AC91" s="411"/>
      <c r="AD91" s="411"/>
      <c r="AE91" s="411"/>
      <c r="AF91" s="411"/>
      <c r="AG91" s="411"/>
      <c r="AH91" s="411"/>
      <c r="AI91" s="411"/>
      <c r="AJ91" s="411"/>
      <c r="AK91" s="411"/>
      <c r="AL91" s="411"/>
      <c r="AM91" s="411"/>
      <c r="AN91" s="411"/>
      <c r="AO91" s="411"/>
      <c r="AP91" s="411"/>
      <c r="AQ91" s="411"/>
      <c r="AR91" s="411"/>
      <c r="AS91" s="411"/>
      <c r="AT91" s="411"/>
      <c r="AU91" s="411"/>
      <c r="AV91" s="411"/>
      <c r="AW91" s="411"/>
      <c r="AX91" s="411"/>
      <c r="AY91" s="411"/>
      <c r="AZ91" s="411"/>
      <c r="BA91" s="411"/>
      <c r="BB91" s="411"/>
      <c r="BC91" s="411"/>
      <c r="BD91" s="411"/>
      <c r="BE91" s="411"/>
      <c r="BF91" s="411"/>
      <c r="BG91" s="411"/>
      <c r="BH91" s="411"/>
      <c r="BI91" s="411"/>
      <c r="BJ91" s="411"/>
    </row>
    <row r="92" spans="1:62" s="295" customFormat="1">
      <c r="A92" s="312"/>
      <c r="B92" s="312"/>
      <c r="C92" s="312"/>
      <c r="D92" s="317">
        <f>SUM(D76:D91)</f>
        <v>0</v>
      </c>
      <c r="E92" s="318" t="e">
        <f>G92/D92</f>
        <v>#DIV/0!</v>
      </c>
      <c r="F92" s="312"/>
      <c r="G92" s="317">
        <f t="shared" ref="G92:W92" si="21">SUM(G76:G91)</f>
        <v>0</v>
      </c>
      <c r="H92" s="319">
        <f t="shared" si="21"/>
        <v>0</v>
      </c>
      <c r="I92" s="319">
        <f>SUM(I76:I91)</f>
        <v>0</v>
      </c>
      <c r="J92" s="319">
        <f t="shared" si="21"/>
        <v>0</v>
      </c>
      <c r="K92" s="320">
        <f t="shared" si="21"/>
        <v>0</v>
      </c>
      <c r="L92" s="319">
        <f t="shared" si="21"/>
        <v>0</v>
      </c>
      <c r="M92" s="319">
        <f t="shared" si="21"/>
        <v>0</v>
      </c>
      <c r="N92" s="319">
        <f t="shared" si="21"/>
        <v>0</v>
      </c>
      <c r="O92" s="317">
        <f t="shared" si="21"/>
        <v>0</v>
      </c>
      <c r="P92" s="317">
        <f t="shared" si="21"/>
        <v>0</v>
      </c>
      <c r="Q92" s="319">
        <f t="shared" si="21"/>
        <v>0</v>
      </c>
      <c r="R92" s="319">
        <f t="shared" si="21"/>
        <v>0</v>
      </c>
      <c r="S92" s="319">
        <f t="shared" si="21"/>
        <v>0</v>
      </c>
      <c r="T92" s="319">
        <f t="shared" si="21"/>
        <v>0</v>
      </c>
      <c r="U92" s="319">
        <f t="shared" si="21"/>
        <v>0</v>
      </c>
      <c r="V92" s="319">
        <f t="shared" si="21"/>
        <v>0</v>
      </c>
      <c r="W92" s="320">
        <f t="shared" si="21"/>
        <v>0</v>
      </c>
      <c r="AC92" s="411"/>
      <c r="AD92" s="411"/>
      <c r="AE92" s="411"/>
      <c r="AF92" s="411"/>
      <c r="AG92" s="411"/>
      <c r="AH92" s="411"/>
      <c r="AI92" s="411"/>
      <c r="AJ92" s="411"/>
      <c r="AK92" s="411"/>
      <c r="AL92" s="411"/>
      <c r="AM92" s="411"/>
      <c r="AN92" s="411"/>
      <c r="AO92" s="411"/>
      <c r="AP92" s="411"/>
      <c r="AQ92" s="411"/>
      <c r="AR92" s="411"/>
      <c r="AS92" s="411"/>
      <c r="AT92" s="411"/>
      <c r="AU92" s="411"/>
      <c r="AV92" s="411"/>
      <c r="AW92" s="411"/>
      <c r="AX92" s="411"/>
      <c r="AY92" s="411"/>
      <c r="AZ92" s="411"/>
      <c r="BA92" s="411"/>
      <c r="BB92" s="411"/>
      <c r="BC92" s="411"/>
      <c r="BD92" s="411"/>
      <c r="BE92" s="411"/>
      <c r="BF92" s="411"/>
      <c r="BG92" s="411"/>
      <c r="BH92" s="411"/>
      <c r="BI92" s="411"/>
      <c r="BJ92" s="411"/>
    </row>
    <row r="93" spans="1:62" s="295" customFormat="1">
      <c r="H93" s="321" t="str">
        <f>IF(A93&gt;0,(IF($C$76="F",H36*$G$19,(H36/($F$19/100))*$G$19))," ")</f>
        <v xml:space="preserve"> </v>
      </c>
      <c r="AC93" s="411"/>
      <c r="AD93" s="411"/>
      <c r="AE93" s="411"/>
      <c r="AF93" s="411"/>
      <c r="AG93" s="411"/>
      <c r="AH93" s="411"/>
      <c r="AI93" s="411"/>
      <c r="AJ93" s="411"/>
      <c r="AK93" s="411"/>
      <c r="AL93" s="411"/>
      <c r="AM93" s="411"/>
      <c r="AN93" s="411"/>
      <c r="AO93" s="411"/>
      <c r="AP93" s="411"/>
      <c r="AQ93" s="411"/>
      <c r="AR93" s="411"/>
      <c r="AS93" s="411"/>
      <c r="AT93" s="411"/>
      <c r="AU93" s="411"/>
      <c r="AV93" s="411"/>
      <c r="AW93" s="411"/>
      <c r="AX93" s="411"/>
      <c r="AY93" s="411"/>
      <c r="AZ93" s="411"/>
      <c r="BA93" s="411"/>
      <c r="BB93" s="411"/>
      <c r="BC93" s="411"/>
      <c r="BD93" s="411"/>
      <c r="BE93" s="411"/>
      <c r="BF93" s="411"/>
      <c r="BG93" s="411"/>
      <c r="BH93" s="411"/>
      <c r="BI93" s="411"/>
      <c r="BJ93" s="411"/>
    </row>
    <row r="94" spans="1:62" s="654" customFormat="1">
      <c r="AC94" s="672"/>
      <c r="AD94" s="672"/>
      <c r="AE94" s="672"/>
      <c r="AF94" s="672"/>
      <c r="AG94" s="672"/>
      <c r="AH94" s="672"/>
      <c r="AI94" s="672"/>
      <c r="AJ94" s="672"/>
      <c r="AK94" s="672"/>
      <c r="AL94" s="672"/>
      <c r="AM94" s="672"/>
      <c r="AN94" s="672"/>
      <c r="AO94" s="672"/>
      <c r="AP94" s="672"/>
      <c r="AQ94" s="672"/>
      <c r="AR94" s="672"/>
      <c r="AS94" s="672"/>
      <c r="AT94" s="672"/>
      <c r="AU94" s="672"/>
      <c r="AV94" s="672"/>
      <c r="AW94" s="672"/>
      <c r="AX94" s="672"/>
      <c r="AY94" s="672"/>
      <c r="AZ94" s="672"/>
      <c r="BA94" s="672"/>
      <c r="BB94" s="672"/>
      <c r="BC94" s="672"/>
      <c r="BD94" s="672"/>
      <c r="BE94" s="672"/>
      <c r="BF94" s="672"/>
      <c r="BG94" s="672"/>
      <c r="BH94" s="672"/>
      <c r="BI94" s="672"/>
      <c r="BJ94" s="672"/>
    </row>
    <row r="95" spans="1:62" s="654" customFormat="1">
      <c r="AC95" s="672"/>
      <c r="AD95" s="672"/>
      <c r="AE95" s="672"/>
      <c r="AF95" s="672"/>
      <c r="AG95" s="672"/>
      <c r="AH95" s="672"/>
      <c r="AI95" s="672"/>
      <c r="AJ95" s="672"/>
      <c r="AK95" s="672"/>
      <c r="AL95" s="672"/>
      <c r="AM95" s="672"/>
      <c r="AN95" s="672"/>
      <c r="AO95" s="672"/>
      <c r="AP95" s="672"/>
      <c r="AQ95" s="672"/>
      <c r="AR95" s="672"/>
      <c r="AS95" s="672"/>
      <c r="AT95" s="672"/>
      <c r="AU95" s="672"/>
      <c r="AV95" s="672"/>
      <c r="AW95" s="672"/>
      <c r="AX95" s="672"/>
      <c r="AY95" s="672"/>
      <c r="AZ95" s="672"/>
      <c r="BA95" s="672"/>
      <c r="BB95" s="672"/>
      <c r="BC95" s="672"/>
      <c r="BD95" s="672"/>
      <c r="BE95" s="672"/>
      <c r="BF95" s="672"/>
      <c r="BG95" s="672"/>
      <c r="BH95" s="672"/>
      <c r="BI95" s="672"/>
      <c r="BJ95" s="672"/>
    </row>
  </sheetData>
  <sheetProtection algorithmName="SHA-512" hashValue="U5M5WNmdF7shozqn+gQLptYos6H7V9AB9LMbKTKzv++zeLy+L8TGXMSxByLUZukD+Apaqj2hg3psvSDJZOc9HA==" saltValue="C6sAzfTqkFo+pJ0dLLKYAA==" spinCount="100000" sheet="1" objects="1" scenarios="1"/>
  <mergeCells count="6">
    <mergeCell ref="A1:W1"/>
    <mergeCell ref="B43:C43"/>
    <mergeCell ref="R36:U36"/>
    <mergeCell ref="C3:F3"/>
    <mergeCell ref="C4:F4"/>
    <mergeCell ref="C5:F5"/>
  </mergeCells>
  <conditionalFormatting sqref="G40:I40 K40:M40 O40:P40">
    <cfRule type="expression" dxfId="81" priority="1">
      <formula>G$40&gt;0.98</formula>
    </cfRule>
    <cfRule type="expression" dxfId="80" priority="2">
      <formula>G$40&lt;0.94</formula>
    </cfRule>
  </conditionalFormatting>
  <conditionalFormatting sqref="R39">
    <cfRule type="expression" dxfId="79" priority="24">
      <formula>$R$39&lt;$R$42</formula>
    </cfRule>
    <cfRule type="expression" dxfId="78" priority="27">
      <formula>$R$39&gt;$R$43</formula>
    </cfRule>
  </conditionalFormatting>
  <conditionalFormatting sqref="S39">
    <cfRule type="expression" dxfId="77" priority="26">
      <formula>$S$39&lt;$S$42</formula>
    </cfRule>
  </conditionalFormatting>
  <conditionalFormatting sqref="T39">
    <cfRule type="expression" dxfId="76" priority="9">
      <formula>$T$39&lt;$T$42</formula>
    </cfRule>
  </conditionalFormatting>
  <conditionalFormatting sqref="U39">
    <cfRule type="expression" dxfId="75" priority="8">
      <formula>$U$39&lt;$U$42</formula>
    </cfRule>
  </conditionalFormatting>
  <conditionalFormatting sqref="V39">
    <cfRule type="expression" dxfId="74" priority="25">
      <formula>$V$39&gt;$V$43</formula>
    </cfRule>
  </conditionalFormatting>
  <dataValidations count="1">
    <dataValidation type="list" allowBlank="1" showInputMessage="1" showErrorMessage="1" sqref="D10" xr:uid="{A8D245DE-3C73-413A-86EB-7E994309E4F2}">
      <formula1>$AD$3:$AD$5</formula1>
    </dataValidation>
  </dataValidations>
  <pageMargins left="0.7" right="0.7" top="0.75" bottom="0.75" header="0.3" footer="0.3"/>
  <pageSetup paperSize="9"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7F07970-8797-4925-93F5-0E49C34BA414}">
          <x14:formula1>
            <xm:f>'Liste des aliments'!$C$6:$C$966</xm:f>
          </x14:formula1>
          <xm:sqref>B19:B34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7360E-386D-4126-8360-E1595390DCFB}">
  <sheetPr codeName="Feuil8">
    <tabColor rgb="FFCCE9AD"/>
  </sheetPr>
  <dimension ref="A2:H59"/>
  <sheetViews>
    <sheetView showGridLines="0" zoomScaleNormal="100" zoomScaleSheetLayoutView="145" workbookViewId="0">
      <selection activeCell="D2" sqref="D2"/>
    </sheetView>
  </sheetViews>
  <sheetFormatPr baseColWidth="10" defaultColWidth="11.44140625" defaultRowHeight="14.4"/>
  <cols>
    <col min="1" max="1" width="28.33203125" customWidth="1"/>
    <col min="2" max="2" width="10.109375" customWidth="1"/>
    <col min="3" max="3" width="9.109375" customWidth="1"/>
    <col min="4" max="4" width="8.6640625" customWidth="1"/>
    <col min="5" max="5" width="11.44140625" customWidth="1"/>
    <col min="6" max="6" width="6.109375" customWidth="1"/>
    <col min="7" max="7" width="12" customWidth="1"/>
    <col min="8" max="8" width="12.6640625" customWidth="1"/>
  </cols>
  <sheetData>
    <row r="2" spans="1:8" ht="24" customHeight="1">
      <c r="F2" s="40"/>
      <c r="G2" s="786">
        <f ca="1">TODAY()</f>
        <v>45922</v>
      </c>
      <c r="H2" s="786"/>
    </row>
    <row r="3" spans="1:8" s="32" customFormat="1" ht="12" customHeight="1">
      <c r="A3" s="19" t="s">
        <v>224</v>
      </c>
      <c r="B3" s="42"/>
      <c r="C3" s="42"/>
      <c r="G3" s="77"/>
    </row>
    <row r="4" spans="1:8" s="32" customFormat="1" ht="12" customHeight="1">
      <c r="A4" s="20" t="s">
        <v>225</v>
      </c>
      <c r="B4" s="42"/>
      <c r="C4" s="42"/>
    </row>
    <row r="5" spans="1:8" s="32" customFormat="1" ht="12" customHeight="1">
      <c r="A5" s="20" t="s">
        <v>226</v>
      </c>
      <c r="B5" s="42"/>
      <c r="C5" s="42"/>
    </row>
    <row r="6" spans="1:8" s="32" customFormat="1" ht="12" customHeight="1">
      <c r="A6" s="42" t="str">
        <f>_xlfn.CONCAT("Ration établie par : ",'   GL   '!C5:F5)</f>
        <v xml:space="preserve">Ration établie par : </v>
      </c>
      <c r="B6" s="42"/>
      <c r="C6" s="42"/>
    </row>
    <row r="7" spans="1:8" ht="5.25" customHeight="1"/>
    <row r="8" spans="1:8" ht="23.4">
      <c r="A8" s="783" t="str">
        <f>_xlfn.CONCAT("RATION : ",'   GL   '!C3:F3," - ",'   GL   '!C4:F4)</f>
        <v xml:space="preserve">RATION :  - </v>
      </c>
      <c r="B8" s="784"/>
      <c r="C8" s="784"/>
      <c r="D8" s="784"/>
      <c r="E8" s="784"/>
      <c r="F8" s="784"/>
      <c r="G8" s="784"/>
      <c r="H8" s="785"/>
    </row>
    <row r="10" spans="1:8" ht="12.9" customHeight="1">
      <c r="A10" s="21" t="s">
        <v>227</v>
      </c>
      <c r="B10" s="22"/>
      <c r="C10" s="23"/>
      <c r="D10" s="21" t="s">
        <v>260</v>
      </c>
      <c r="E10" s="22"/>
      <c r="F10" s="22"/>
      <c r="G10" s="22"/>
      <c r="H10" s="31"/>
    </row>
    <row r="11" spans="1:8" ht="12.9" customHeight="1">
      <c r="A11" s="23" t="s">
        <v>268</v>
      </c>
      <c r="B11" s="24">
        <f>'   GL   '!D9</f>
        <v>9</v>
      </c>
      <c r="C11" s="23"/>
      <c r="D11" s="23"/>
      <c r="E11" s="23"/>
      <c r="F11" s="23"/>
      <c r="G11" s="23"/>
      <c r="H11" s="32"/>
    </row>
    <row r="12" spans="1:8" ht="12.9" customHeight="1">
      <c r="A12" s="23" t="s">
        <v>269</v>
      </c>
      <c r="B12" s="24">
        <f>'   GL   '!D10</f>
        <v>24</v>
      </c>
      <c r="C12" s="23"/>
      <c r="D12" s="23"/>
      <c r="E12" s="23"/>
      <c r="F12" s="23"/>
      <c r="G12" s="23"/>
      <c r="H12" s="32"/>
    </row>
    <row r="13" spans="1:8" ht="12.9" customHeight="1">
      <c r="A13" s="23" t="s">
        <v>270</v>
      </c>
      <c r="B13" s="24">
        <f>'   GL   '!D11</f>
        <v>680</v>
      </c>
      <c r="C13" s="23"/>
      <c r="D13" s="23"/>
      <c r="E13" s="23"/>
      <c r="F13" s="23"/>
      <c r="G13" s="23"/>
      <c r="H13" s="32"/>
    </row>
    <row r="14" spans="1:8" ht="12.9" customHeight="1">
      <c r="A14" s="23" t="s">
        <v>275</v>
      </c>
      <c r="B14" s="24">
        <f>'   GL   '!D12</f>
        <v>270</v>
      </c>
      <c r="C14" s="23"/>
      <c r="D14" s="23"/>
      <c r="E14" s="23"/>
      <c r="F14" s="23"/>
      <c r="G14" s="23"/>
      <c r="H14" s="32"/>
    </row>
    <row r="15" spans="1:8" ht="12.9" customHeight="1">
      <c r="A15" s="23" t="s">
        <v>276</v>
      </c>
      <c r="B15" s="24">
        <f>'   GL   '!D13</f>
        <v>750</v>
      </c>
      <c r="C15" s="23"/>
      <c r="D15" s="23"/>
      <c r="E15" s="23"/>
      <c r="F15" s="23"/>
      <c r="G15" s="23"/>
      <c r="H15" s="32"/>
    </row>
    <row r="16" spans="1:8" ht="12.9" customHeight="1">
      <c r="C16" s="23"/>
      <c r="D16" s="23"/>
      <c r="E16" s="23"/>
      <c r="F16" s="23"/>
      <c r="G16" s="23"/>
      <c r="H16" s="32"/>
    </row>
    <row r="17" spans="1:8" ht="12.9" customHeight="1">
      <c r="A17" s="21" t="s">
        <v>232</v>
      </c>
      <c r="B17" s="26"/>
      <c r="C17" s="23"/>
      <c r="D17" s="23"/>
      <c r="E17" s="23"/>
      <c r="F17" s="23"/>
      <c r="G17" s="23"/>
      <c r="H17" s="32"/>
    </row>
    <row r="18" spans="1:8" ht="12.9" customHeight="1">
      <c r="A18" s="23" t="s">
        <v>277</v>
      </c>
      <c r="B18" s="27">
        <f>'   GL   '!W38</f>
        <v>0</v>
      </c>
      <c r="C18" s="23"/>
      <c r="D18" s="23"/>
      <c r="E18" s="23"/>
      <c r="F18" s="23"/>
      <c r="G18" s="23"/>
      <c r="H18" s="32"/>
    </row>
    <row r="19" spans="1:8" ht="12.9" customHeight="1">
      <c r="A19" s="23" t="s">
        <v>234</v>
      </c>
      <c r="B19" s="87">
        <f>'   GL   '!G40*100</f>
        <v>0</v>
      </c>
      <c r="C19" s="23"/>
      <c r="D19" s="23"/>
      <c r="E19" s="23"/>
      <c r="F19" s="23"/>
      <c r="G19" s="23"/>
      <c r="H19" s="32"/>
    </row>
    <row r="20" spans="1:8" ht="12.9" customHeight="1">
      <c r="A20" s="23" t="s">
        <v>235</v>
      </c>
      <c r="B20" s="28" t="e">
        <f>'   GL   '!M39/'   GL   '!K39</f>
        <v>#DIV/0!</v>
      </c>
      <c r="C20" s="23"/>
      <c r="D20" s="23"/>
      <c r="E20" s="23"/>
      <c r="F20" s="23"/>
      <c r="G20" s="23"/>
      <c r="H20" s="32"/>
    </row>
    <row r="21" spans="1:8" ht="12.9" customHeight="1">
      <c r="A21" s="23" t="s">
        <v>236</v>
      </c>
      <c r="B21" s="80" t="e">
        <f>('   GL   '!I39/'   GL   '!H39)*1000</f>
        <v>#DIV/0!</v>
      </c>
      <c r="C21" s="23"/>
      <c r="D21" s="23"/>
      <c r="E21" s="23"/>
      <c r="F21" s="23"/>
      <c r="G21" s="23"/>
      <c r="H21" s="32"/>
    </row>
    <row r="22" spans="1:8" ht="12.9" customHeight="1">
      <c r="A22" s="23" t="s">
        <v>278</v>
      </c>
      <c r="B22" s="29" t="e">
        <f>'   GL   '!E38</f>
        <v>#DIV/0!</v>
      </c>
      <c r="C22" s="23"/>
      <c r="D22" s="23"/>
      <c r="E22" s="23"/>
      <c r="F22" s="23"/>
      <c r="G22" s="23"/>
      <c r="H22" s="32"/>
    </row>
    <row r="23" spans="1:8" ht="12.9" customHeight="1">
      <c r="A23" s="23"/>
      <c r="B23" s="23"/>
      <c r="C23" s="23"/>
      <c r="D23" s="23"/>
      <c r="E23" s="23"/>
      <c r="F23" s="23"/>
      <c r="G23" s="23"/>
      <c r="H23" s="32"/>
    </row>
    <row r="24" spans="1:8" ht="12.9" customHeight="1">
      <c r="A24" s="21" t="s">
        <v>186</v>
      </c>
      <c r="B24" s="22"/>
      <c r="C24" s="22"/>
      <c r="D24" s="22"/>
      <c r="E24" s="22"/>
      <c r="F24" s="22"/>
      <c r="G24" s="22"/>
      <c r="H24" s="31"/>
    </row>
    <row r="25" spans="1:8" ht="9" customHeight="1">
      <c r="A25" s="23"/>
      <c r="B25" s="23"/>
      <c r="C25" s="23"/>
      <c r="D25" s="23"/>
      <c r="E25" s="23"/>
      <c r="F25" s="23"/>
      <c r="G25" s="23"/>
    </row>
    <row r="26" spans="1:8" ht="17.399999999999999" customHeight="1">
      <c r="A26" s="72" t="s">
        <v>238</v>
      </c>
      <c r="B26" s="72" t="s">
        <v>188</v>
      </c>
      <c r="C26" s="72" t="s">
        <v>191</v>
      </c>
      <c r="D26" s="30"/>
      <c r="E26" s="23"/>
      <c r="F26" s="23"/>
      <c r="G26" s="23"/>
    </row>
    <row r="27" spans="1:8" ht="15" customHeight="1">
      <c r="A27" s="69" t="str">
        <f>IF(ISBLANK('   GL   '!B19),"",'   GL   '!B19)</f>
        <v/>
      </c>
      <c r="B27" s="70" t="str">
        <f>IF(ISBLANK('   GL   '!B19)," ",'   GL   '!D19)</f>
        <v xml:space="preserve"> </v>
      </c>
      <c r="C27" s="71" t="str">
        <f>'   GL   '!G19</f>
        <v xml:space="preserve"> </v>
      </c>
      <c r="D27" s="30"/>
      <c r="E27" s="38" t="s">
        <v>239</v>
      </c>
      <c r="F27" s="36">
        <f>'   GL   '!D38</f>
        <v>0</v>
      </c>
      <c r="G27" s="34" t="s">
        <v>279</v>
      </c>
    </row>
    <row r="28" spans="1:8" ht="15" customHeight="1">
      <c r="A28" s="69" t="str">
        <f>IF(ISBLANK('   GL   '!B20),"",'   GL   '!B20)</f>
        <v/>
      </c>
      <c r="B28" s="70" t="str">
        <f>IF(ISBLANK('   GL   '!B20)," ",'   GL   '!D20)</f>
        <v xml:space="preserve"> </v>
      </c>
      <c r="C28" s="71" t="str">
        <f>'   GL   '!G20</f>
        <v xml:space="preserve"> </v>
      </c>
      <c r="D28" s="30"/>
      <c r="E28" s="39" t="s">
        <v>241</v>
      </c>
      <c r="F28" s="37">
        <f>'   GL   '!G38</f>
        <v>0</v>
      </c>
      <c r="G28" s="35" t="s">
        <v>279</v>
      </c>
    </row>
    <row r="29" spans="1:8" ht="15" customHeight="1">
      <c r="A29" s="69" t="str">
        <f>IF(ISBLANK('   GL   '!B21),"",'   GL   '!B21)</f>
        <v/>
      </c>
      <c r="B29" s="70" t="str">
        <f>IF(ISBLANK('   GL   '!B21)," ",'   GL   '!D21)</f>
        <v xml:space="preserve"> </v>
      </c>
      <c r="C29" s="71" t="str">
        <f>'   GL   '!G21</f>
        <v xml:space="preserve"> </v>
      </c>
      <c r="D29" s="30"/>
      <c r="E29" s="23"/>
      <c r="F29" s="23"/>
      <c r="G29" s="23"/>
      <c r="H29" s="32"/>
    </row>
    <row r="30" spans="1:8" ht="15" customHeight="1">
      <c r="A30" s="69" t="str">
        <f>IF(ISBLANK('   GL   '!B22),"",'   GL   '!B22)</f>
        <v/>
      </c>
      <c r="B30" s="70" t="str">
        <f>IF(ISBLANK('   GL   '!B22)," ",'   GL   '!D22)</f>
        <v xml:space="preserve"> </v>
      </c>
      <c r="C30" s="71" t="str">
        <f>'   GL   '!G22</f>
        <v xml:space="preserve"> </v>
      </c>
      <c r="D30" s="30"/>
      <c r="E30" s="23"/>
      <c r="F30" s="23"/>
      <c r="G30" s="23"/>
      <c r="H30" s="32"/>
    </row>
    <row r="31" spans="1:8" ht="15" customHeight="1">
      <c r="A31" s="69" t="str">
        <f>IF(ISBLANK('   GL   '!B23),"",'   GL   '!B23)</f>
        <v/>
      </c>
      <c r="B31" s="70" t="str">
        <f>IF(ISBLANK('   GL   '!B23)," ",'   GL   '!D23)</f>
        <v xml:space="preserve"> </v>
      </c>
      <c r="C31" s="71" t="str">
        <f>'   GL   '!G23</f>
        <v xml:space="preserve"> </v>
      </c>
      <c r="D31" s="30"/>
      <c r="E31" s="23"/>
      <c r="F31" s="23"/>
      <c r="G31" s="23"/>
      <c r="H31" s="32"/>
    </row>
    <row r="32" spans="1:8" ht="15" customHeight="1">
      <c r="A32" s="69" t="str">
        <f>IF(ISBLANK('   GL   '!B24),"",'   GL   '!B24)</f>
        <v/>
      </c>
      <c r="B32" s="70" t="str">
        <f>IF(ISBLANK('   GL   '!B24)," ",'   GL   '!D24)</f>
        <v xml:space="preserve"> </v>
      </c>
      <c r="C32" s="71" t="str">
        <f>'   GL   '!G24</f>
        <v xml:space="preserve"> </v>
      </c>
      <c r="D32" s="30"/>
      <c r="E32" s="23"/>
      <c r="F32" s="23"/>
      <c r="G32" s="23"/>
      <c r="H32" s="32"/>
    </row>
    <row r="33" spans="1:8" ht="15" customHeight="1">
      <c r="A33" s="69" t="str">
        <f>IF(ISBLANK('   GL   '!B25),"",'   GL   '!B25)</f>
        <v/>
      </c>
      <c r="B33" s="70" t="str">
        <f>IF(ISBLANK('   GL   '!B25)," ",'   GL   '!D25)</f>
        <v xml:space="preserve"> </v>
      </c>
      <c r="C33" s="71" t="str">
        <f>'   GL   '!G25</f>
        <v xml:space="preserve"> </v>
      </c>
      <c r="D33" s="33"/>
      <c r="E33" s="32"/>
      <c r="F33" s="32"/>
      <c r="G33" s="32"/>
      <c r="H33" s="32"/>
    </row>
    <row r="34" spans="1:8" ht="15" customHeight="1">
      <c r="A34" s="69" t="str">
        <f>IF(ISBLANK('   GL   '!B26),"",'   GL   '!B26)</f>
        <v/>
      </c>
      <c r="B34" s="70" t="str">
        <f>IF(ISBLANK('   GL   '!B26)," ",'   GL   '!D26)</f>
        <v xml:space="preserve"> </v>
      </c>
      <c r="C34" s="71" t="str">
        <f>'   GL   '!G26</f>
        <v xml:space="preserve"> </v>
      </c>
      <c r="D34" s="33"/>
      <c r="E34" s="32"/>
      <c r="F34" s="32"/>
      <c r="G34" s="32"/>
      <c r="H34" s="32"/>
    </row>
    <row r="35" spans="1:8" ht="15" customHeight="1">
      <c r="A35" s="69" t="str">
        <f>IF(ISBLANK('   GL   '!B27),"",'   GL   '!B27)</f>
        <v/>
      </c>
      <c r="B35" s="70" t="str">
        <f>IF(ISBLANK('   GL   '!B27)," ",'   GL   '!D27)</f>
        <v xml:space="preserve"> </v>
      </c>
      <c r="C35" s="71" t="str">
        <f>'   GL   '!G27</f>
        <v xml:space="preserve"> </v>
      </c>
      <c r="D35" s="33"/>
      <c r="E35" s="32"/>
      <c r="F35" s="32"/>
      <c r="G35" s="32"/>
      <c r="H35" s="32"/>
    </row>
    <row r="36" spans="1:8" ht="15" customHeight="1">
      <c r="A36" s="69" t="str">
        <f>IF(ISBLANK('   GL   '!B28),"",'   GL   '!B28)</f>
        <v/>
      </c>
      <c r="B36" s="70" t="str">
        <f>IF(ISBLANK('   GL   '!B28)," ",'   GL   '!D28)</f>
        <v xml:space="preserve"> </v>
      </c>
      <c r="C36" s="71" t="str">
        <f>'   GL   '!G28</f>
        <v xml:space="preserve"> </v>
      </c>
      <c r="D36" s="33"/>
      <c r="E36" s="32"/>
      <c r="F36" s="32"/>
      <c r="G36" s="32"/>
      <c r="H36" s="32"/>
    </row>
    <row r="37" spans="1:8" ht="15" customHeight="1">
      <c r="A37" s="69" t="str">
        <f>IF(ISBLANK('   GL   '!B29),"",'   GL   '!B29)</f>
        <v/>
      </c>
      <c r="B37" s="70" t="str">
        <f>IF(ISBLANK('   GL   '!B29)," ",'   GL   '!D29)</f>
        <v xml:space="preserve"> </v>
      </c>
      <c r="C37" s="71" t="str">
        <f>'   GL   '!G29</f>
        <v xml:space="preserve"> </v>
      </c>
      <c r="D37" s="33"/>
      <c r="E37" s="32"/>
      <c r="F37" s="32"/>
      <c r="G37" s="32"/>
      <c r="H37" s="32"/>
    </row>
    <row r="38" spans="1:8" ht="15" customHeight="1">
      <c r="A38" s="69" t="str">
        <f>IF(ISBLANK('   GL   '!B30),"",'   GL   '!B30)</f>
        <v/>
      </c>
      <c r="B38" s="70" t="str">
        <f>IF(ISBLANK('   GL   '!B30)," ",'   GL   '!D30)</f>
        <v xml:space="preserve"> </v>
      </c>
      <c r="C38" s="71" t="str">
        <f>'   GL   '!G30</f>
        <v xml:space="preserve"> </v>
      </c>
      <c r="D38" s="33"/>
      <c r="E38" s="32"/>
      <c r="F38" s="32"/>
      <c r="G38" s="32"/>
      <c r="H38" s="32"/>
    </row>
    <row r="39" spans="1:8" ht="15" customHeight="1">
      <c r="A39" s="69" t="str">
        <f>IF(ISBLANK('   GL   '!B31),"",'   GL   '!B31)</f>
        <v/>
      </c>
      <c r="B39" s="70" t="str">
        <f>IF(ISBLANK('   GL   '!B31)," ",'   GL   '!D31)</f>
        <v xml:space="preserve"> </v>
      </c>
      <c r="C39" s="71" t="str">
        <f>'   GL   '!G31</f>
        <v xml:space="preserve"> </v>
      </c>
      <c r="D39" s="33"/>
      <c r="E39" s="32"/>
      <c r="F39" s="32"/>
      <c r="G39" s="32"/>
      <c r="H39" s="32"/>
    </row>
    <row r="40" spans="1:8" ht="15" customHeight="1">
      <c r="A40" s="69" t="str">
        <f>IF(ISBLANK('   GL   '!B32),"",'   GL   '!B32)</f>
        <v/>
      </c>
      <c r="B40" s="70" t="str">
        <f>IF(ISBLANK('   GL   '!B32)," ",'   GL   '!D32)</f>
        <v xml:space="preserve"> </v>
      </c>
      <c r="C40" s="71" t="str">
        <f>'   GL   '!G32</f>
        <v xml:space="preserve"> </v>
      </c>
      <c r="D40" s="33"/>
      <c r="E40" s="32"/>
      <c r="F40" s="32"/>
      <c r="G40" s="32"/>
      <c r="H40" s="32"/>
    </row>
    <row r="41" spans="1:8" ht="15" customHeight="1">
      <c r="A41" s="69" t="str">
        <f>IF(ISBLANK('   GL   '!B33),"",'   GL   '!B33)</f>
        <v/>
      </c>
      <c r="B41" s="70" t="str">
        <f>IF(ISBLANK('   GL   '!B33)," ",'   GL   '!D33)</f>
        <v xml:space="preserve"> </v>
      </c>
      <c r="C41" s="71" t="str">
        <f>'   GL   '!G33</f>
        <v xml:space="preserve"> </v>
      </c>
      <c r="D41" s="33"/>
      <c r="E41" s="32"/>
      <c r="F41" s="32"/>
      <c r="G41" s="32"/>
      <c r="H41" s="32"/>
    </row>
    <row r="42" spans="1:8" ht="15" customHeight="1">
      <c r="A42" s="69" t="str">
        <f>IF(ISBLANK('   GL   '!B34),"",'   GL   '!B34)</f>
        <v/>
      </c>
      <c r="B42" s="70" t="str">
        <f>IF(ISBLANK('   GL   '!B34)," ",'   GL   '!D34)</f>
        <v xml:space="preserve"> </v>
      </c>
      <c r="C42" s="71" t="str">
        <f>'   GL   '!G34</f>
        <v xml:space="preserve"> </v>
      </c>
      <c r="D42" s="32"/>
      <c r="E42" s="32"/>
      <c r="F42" s="32"/>
      <c r="G42" s="32"/>
      <c r="H42" s="32"/>
    </row>
    <row r="43" spans="1:8" ht="5.4" customHeight="1">
      <c r="A43" s="81"/>
      <c r="B43" s="70" t="str">
        <f>IF(ISBLANK('   GL   '!B35)," ",'   GL   '!D35)</f>
        <v xml:space="preserve"> </v>
      </c>
      <c r="C43" s="82">
        <f>'   GL   '!G35</f>
        <v>0</v>
      </c>
      <c r="D43" s="32"/>
      <c r="E43" s="32"/>
      <c r="F43" s="32"/>
      <c r="G43" s="32"/>
      <c r="H43" s="32"/>
    </row>
    <row r="44" spans="1:8" ht="12.9" customHeight="1">
      <c r="A44" s="78" t="s">
        <v>248</v>
      </c>
      <c r="B44" s="48"/>
      <c r="C44" s="48"/>
      <c r="D44" s="48"/>
      <c r="E44" s="48"/>
      <c r="F44" s="48"/>
      <c r="G44" s="48"/>
      <c r="H44" s="49"/>
    </row>
    <row r="45" spans="1:8" ht="4.2" customHeight="1">
      <c r="A45" s="50"/>
      <c r="H45" s="51"/>
    </row>
    <row r="46" spans="1:8" ht="12" customHeight="1">
      <c r="A46" s="52" t="s">
        <v>42</v>
      </c>
      <c r="B46" s="45" t="e">
        <f>'   GL   '!H39</f>
        <v>#DIV/0!</v>
      </c>
      <c r="C46" s="32"/>
      <c r="D46" s="782" t="s">
        <v>54</v>
      </c>
      <c r="E46" s="782"/>
      <c r="F46" s="45" t="e">
        <f>'   GL   '!R39</f>
        <v>#DIV/0!</v>
      </c>
      <c r="G46" s="32" t="s">
        <v>249</v>
      </c>
      <c r="H46" s="51"/>
    </row>
    <row r="47" spans="1:8" ht="12" customHeight="1">
      <c r="A47" s="52" t="s">
        <v>44</v>
      </c>
      <c r="B47" s="45" t="e">
        <f>'   GL   '!I39</f>
        <v>#DIV/0!</v>
      </c>
      <c r="C47" s="32" t="s">
        <v>249</v>
      </c>
      <c r="D47" s="782" t="s">
        <v>193</v>
      </c>
      <c r="E47" s="782"/>
      <c r="F47" s="45" t="e">
        <f>'   GL   '!S39</f>
        <v>#DIV/0!</v>
      </c>
      <c r="G47" s="32" t="s">
        <v>249</v>
      </c>
      <c r="H47" s="51"/>
    </row>
    <row r="48" spans="1:8" ht="12" customHeight="1">
      <c r="A48" s="52" t="s">
        <v>45</v>
      </c>
      <c r="B48" s="45" t="e">
        <f>'   GL   '!J39</f>
        <v>#DIV/0!</v>
      </c>
      <c r="C48" s="32" t="s">
        <v>249</v>
      </c>
      <c r="D48" s="782" t="s">
        <v>56</v>
      </c>
      <c r="E48" s="782"/>
      <c r="F48" s="45" t="e">
        <f>'   GL   '!T39</f>
        <v>#DIV/0!</v>
      </c>
      <c r="G48" s="32" t="s">
        <v>249</v>
      </c>
      <c r="H48" s="51"/>
    </row>
    <row r="49" spans="1:8" ht="12" customHeight="1">
      <c r="A49" s="52" t="s">
        <v>46</v>
      </c>
      <c r="B49" s="46" t="e">
        <f>'   GL   '!K39</f>
        <v>#DIV/0!</v>
      </c>
      <c r="C49" s="32"/>
      <c r="D49" s="782" t="s">
        <v>57</v>
      </c>
      <c r="E49" s="782"/>
      <c r="F49" s="45" t="e">
        <f>'   GL   '!U39</f>
        <v>#DIV/0!</v>
      </c>
      <c r="G49" s="32" t="s">
        <v>249</v>
      </c>
      <c r="H49" s="51"/>
    </row>
    <row r="50" spans="1:8" ht="12" customHeight="1">
      <c r="A50" s="52" t="s">
        <v>48</v>
      </c>
      <c r="B50" s="45" t="e">
        <f>'   GL   '!L39</f>
        <v>#DIV/0!</v>
      </c>
      <c r="C50" s="32" t="s">
        <v>249</v>
      </c>
      <c r="D50" s="782" t="s">
        <v>51</v>
      </c>
      <c r="E50" s="782"/>
      <c r="F50" s="47" t="e">
        <f>'   GL   '!O39</f>
        <v>#DIV/0!</v>
      </c>
      <c r="G50" s="32" t="s">
        <v>249</v>
      </c>
      <c r="H50" s="51"/>
    </row>
    <row r="51" spans="1:8" ht="12" customHeight="1">
      <c r="A51" s="52" t="s">
        <v>49</v>
      </c>
      <c r="B51" s="45" t="e">
        <f>'   GL   '!M39</f>
        <v>#DIV/0!</v>
      </c>
      <c r="C51" s="32" t="s">
        <v>249</v>
      </c>
      <c r="D51" s="782" t="s">
        <v>52</v>
      </c>
      <c r="E51" s="782"/>
      <c r="F51" s="47" t="e">
        <f>'   GL   '!P39</f>
        <v>#DIV/0!</v>
      </c>
      <c r="G51" s="32" t="s">
        <v>249</v>
      </c>
      <c r="H51" s="51"/>
    </row>
    <row r="52" spans="1:8" ht="12" customHeight="1">
      <c r="A52" s="52" t="s">
        <v>250</v>
      </c>
      <c r="B52" s="45" t="e">
        <f>'   GL   '!N39</f>
        <v>#DIV/0!</v>
      </c>
      <c r="C52" s="32" t="s">
        <v>249</v>
      </c>
      <c r="D52" s="782" t="s">
        <v>251</v>
      </c>
      <c r="E52" s="782"/>
      <c r="F52" s="45" t="e">
        <f>'   GL   '!V39</f>
        <v>#DIV/0!</v>
      </c>
      <c r="G52" s="32" t="s">
        <v>249</v>
      </c>
      <c r="H52" s="51"/>
    </row>
    <row r="53" spans="1:8" ht="12" customHeight="1">
      <c r="A53" s="53" t="s">
        <v>192</v>
      </c>
      <c r="B53" s="54" t="e">
        <f>'   GL   '!Q39</f>
        <v>#DIV/0!</v>
      </c>
      <c r="C53" s="31" t="s">
        <v>249</v>
      </c>
      <c r="D53" s="31"/>
      <c r="E53" s="31"/>
      <c r="F53" s="31"/>
      <c r="G53" s="31"/>
      <c r="H53" s="55"/>
    </row>
    <row r="54" spans="1:8" ht="7.5" customHeight="1"/>
    <row r="55" spans="1:8" ht="15" customHeight="1">
      <c r="A55" s="79" t="s">
        <v>252</v>
      </c>
      <c r="B55" s="64"/>
      <c r="C55" s="64"/>
      <c r="D55" s="64"/>
      <c r="E55" s="64"/>
      <c r="F55" s="64"/>
      <c r="G55" s="64"/>
      <c r="H55" s="65"/>
    </row>
    <row r="56" spans="1:8" ht="12.9" customHeight="1">
      <c r="A56" s="50"/>
      <c r="H56" s="66"/>
    </row>
    <row r="57" spans="1:8" ht="12" customHeight="1">
      <c r="A57" s="50"/>
      <c r="H57" s="66"/>
    </row>
    <row r="58" spans="1:8" ht="12" customHeight="1">
      <c r="A58" s="50"/>
      <c r="H58" s="66"/>
    </row>
    <row r="59" spans="1:8" ht="15" customHeight="1">
      <c r="A59" s="67"/>
      <c r="B59" s="41"/>
      <c r="C59" s="41"/>
      <c r="D59" s="41"/>
      <c r="E59" s="41"/>
      <c r="F59" s="41"/>
      <c r="G59" s="41"/>
      <c r="H59" s="55"/>
    </row>
  </sheetData>
  <sheetProtection algorithmName="SHA-512" hashValue="wHRmA3xmYpuQKM9ppRMD8AG6UXghL289DnjkUMAB3EkZeM+p+OpEVRQIr6DJ/vywJJbox1Rxc6w7BfT9fdUtZQ==" saltValue="BxKzzI8u0DLvMXBTKPij2Q==" spinCount="100000" sheet="1" objects="1" scenarios="1" selectLockedCells="1" selectUnlockedCells="1"/>
  <mergeCells count="9">
    <mergeCell ref="D50:E50"/>
    <mergeCell ref="D51:E51"/>
    <mergeCell ref="D52:E52"/>
    <mergeCell ref="G2:H2"/>
    <mergeCell ref="A8:H8"/>
    <mergeCell ref="D46:E46"/>
    <mergeCell ref="D47:E47"/>
    <mergeCell ref="D48:E48"/>
    <mergeCell ref="D49:E49"/>
  </mergeCells>
  <pageMargins left="0.23622047244094491" right="0.23622047244094491" top="0.35433070866141736" bottom="0.35433070866141736"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1CA6D-3B20-4724-940D-B08038C4E47F}">
  <sheetPr codeName="Feuil9">
    <tabColor rgb="FFFF9900"/>
  </sheetPr>
  <dimension ref="A1:AP169"/>
  <sheetViews>
    <sheetView showGridLines="0" zoomScale="85" zoomScaleNormal="85" workbookViewId="0">
      <selection activeCell="F17" sqref="F17"/>
    </sheetView>
  </sheetViews>
  <sheetFormatPr baseColWidth="10" defaultColWidth="11.44140625" defaultRowHeight="13.8"/>
  <cols>
    <col min="1" max="1" width="6.109375" style="109" bestFit="1" customWidth="1"/>
    <col min="2" max="2" width="28.44140625" style="109" customWidth="1"/>
    <col min="3" max="3" width="5.6640625" style="109" customWidth="1"/>
    <col min="4" max="4" width="12.88671875" style="109" customWidth="1"/>
    <col min="5" max="5" width="8.6640625" style="109" customWidth="1"/>
    <col min="6" max="6" width="10.109375" style="109" customWidth="1"/>
    <col min="7" max="18" width="8.6640625" style="109" customWidth="1"/>
    <col min="19" max="19" width="11.109375" style="109" customWidth="1"/>
    <col min="20" max="23" width="8.6640625" style="109" customWidth="1"/>
    <col min="24" max="24" width="11.44140625" style="109"/>
    <col min="25" max="27" width="11.44140625" style="615"/>
    <col min="28" max="28" width="11.44140625" style="295"/>
    <col min="29" max="29" width="15" style="295" bestFit="1" customWidth="1"/>
    <col min="30" max="30" width="12.6640625" style="295" customWidth="1"/>
    <col min="31" max="31" width="13.33203125" style="295" bestFit="1" customWidth="1"/>
    <col min="32" max="32" width="16" style="295" bestFit="1" customWidth="1"/>
    <col min="33" max="33" width="11.6640625" style="295" bestFit="1" customWidth="1"/>
    <col min="34" max="34" width="12.5546875" style="295" bestFit="1" customWidth="1"/>
    <col min="35" max="35" width="13.109375" style="295" bestFit="1" customWidth="1"/>
    <col min="36" max="37" width="11.5546875" style="295" bestFit="1" customWidth="1"/>
    <col min="38" max="39" width="11.44140625" style="295"/>
    <col min="40" max="40" width="11.44140625" style="615"/>
    <col min="41" max="41" width="11.44140625" style="295"/>
    <col min="42" max="16384" width="11.44140625" style="109"/>
  </cols>
  <sheetData>
    <row r="1" spans="1:23" ht="25.5" customHeight="1">
      <c r="A1" s="775" t="s">
        <v>254</v>
      </c>
      <c r="B1" s="775"/>
      <c r="C1" s="775"/>
      <c r="D1" s="775"/>
      <c r="E1" s="775"/>
      <c r="F1" s="775"/>
      <c r="G1" s="775"/>
      <c r="H1" s="775"/>
      <c r="I1" s="775"/>
      <c r="J1" s="775"/>
      <c r="K1" s="775"/>
      <c r="L1" s="775"/>
      <c r="M1" s="775"/>
      <c r="N1" s="775"/>
      <c r="O1" s="775"/>
      <c r="P1" s="775"/>
      <c r="Q1" s="775"/>
      <c r="R1" s="775"/>
      <c r="S1" s="775"/>
      <c r="T1" s="775"/>
      <c r="U1" s="775"/>
      <c r="V1" s="775"/>
      <c r="W1" s="775"/>
    </row>
    <row r="2" spans="1:23" ht="14.4" thickBot="1"/>
    <row r="3" spans="1:23" ht="15.9" customHeight="1">
      <c r="B3" s="90" t="s">
        <v>158</v>
      </c>
      <c r="C3" s="777"/>
      <c r="D3" s="777"/>
      <c r="E3" s="777"/>
      <c r="F3" s="777"/>
      <c r="G3" s="778"/>
      <c r="K3" s="437" t="s">
        <v>162</v>
      </c>
      <c r="L3" s="437"/>
      <c r="M3" s="438">
        <f>(D12/1000*0.7*D13)-W37</f>
        <v>6.3699999999999992</v>
      </c>
      <c r="N3" s="1"/>
      <c r="O3" s="1"/>
      <c r="P3" s="1"/>
      <c r="Q3" s="789" t="s">
        <v>260</v>
      </c>
      <c r="R3" s="789"/>
      <c r="S3" s="789"/>
      <c r="T3" s="789"/>
      <c r="U3" s="789"/>
      <c r="V3" s="789"/>
      <c r="W3" s="789"/>
    </row>
    <row r="4" spans="1:23" ht="15.9" customHeight="1">
      <c r="B4" s="92" t="s">
        <v>161</v>
      </c>
      <c r="C4" s="779"/>
      <c r="D4" s="779"/>
      <c r="E4" s="779"/>
      <c r="F4" s="779"/>
      <c r="G4" s="779"/>
      <c r="K4" s="437" t="s">
        <v>159</v>
      </c>
      <c r="L4" s="437"/>
      <c r="M4" s="439">
        <f>G37/H10</f>
        <v>0</v>
      </c>
      <c r="N4" s="440">
        <f>G37/(D11/100)</f>
        <v>0</v>
      </c>
      <c r="O4" s="441" t="s">
        <v>280</v>
      </c>
      <c r="P4" s="442"/>
    </row>
    <row r="5" spans="1:23" ht="15.9" customHeight="1" thickBot="1">
      <c r="B5" s="91" t="s">
        <v>163</v>
      </c>
      <c r="C5" s="780"/>
      <c r="D5" s="780"/>
      <c r="E5" s="780"/>
      <c r="F5" s="780"/>
      <c r="G5" s="781"/>
      <c r="K5" s="437" t="s">
        <v>281</v>
      </c>
      <c r="L5" s="437"/>
      <c r="M5" s="443" t="e">
        <f>(L38-M38)/K38</f>
        <v>#DIV/0!</v>
      </c>
      <c r="N5" s="1"/>
      <c r="O5" s="1"/>
      <c r="P5" s="1"/>
    </row>
    <row r="6" spans="1:23" ht="15.9" customHeight="1">
      <c r="B6" s="1"/>
      <c r="K6" s="437" t="s">
        <v>282</v>
      </c>
      <c r="L6" s="437"/>
      <c r="M6" s="443" t="e">
        <f>MIN(L38:M38)/K38</f>
        <v>#DIV/0!</v>
      </c>
      <c r="N6" s="1"/>
      <c r="O6" s="1"/>
      <c r="P6" s="1"/>
    </row>
    <row r="7" spans="1:23" ht="15.6">
      <c r="B7" s="11" t="s">
        <v>283</v>
      </c>
    </row>
    <row r="8" spans="1:23" ht="6" customHeight="1" thickBot="1">
      <c r="B8" s="1"/>
    </row>
    <row r="9" spans="1:23">
      <c r="B9" s="264" t="s">
        <v>284</v>
      </c>
      <c r="C9" s="114"/>
      <c r="D9" s="418" t="s">
        <v>292</v>
      </c>
      <c r="F9" s="18" t="s">
        <v>286</v>
      </c>
      <c r="G9" s="18"/>
      <c r="H9" s="217" t="s">
        <v>169</v>
      </c>
      <c r="I9" s="218" t="s">
        <v>43</v>
      </c>
      <c r="J9" s="218" t="s">
        <v>170</v>
      </c>
      <c r="K9" s="218" t="s">
        <v>171</v>
      </c>
      <c r="L9" s="218" t="s">
        <v>172</v>
      </c>
      <c r="M9" s="218" t="s">
        <v>173</v>
      </c>
      <c r="N9" s="218" t="s">
        <v>47</v>
      </c>
      <c r="O9" s="218" t="s">
        <v>48</v>
      </c>
      <c r="P9" s="219" t="s">
        <v>49</v>
      </c>
    </row>
    <row r="10" spans="1:23">
      <c r="B10" s="265" t="s">
        <v>287</v>
      </c>
      <c r="C10" s="73"/>
      <c r="D10" s="419" t="str">
        <f>VLOOKUP(D9,AD18:AE26,2)</f>
        <v>Tardif (Ci-)</v>
      </c>
      <c r="F10" s="337" t="s">
        <v>181</v>
      </c>
      <c r="G10" s="395"/>
      <c r="H10" s="396" cm="1">
        <f t="array" ref="H10">INDEX($AD$49:$AK$52,$AK$24,AE47)</f>
        <v>8.9044999999999987</v>
      </c>
      <c r="I10" s="397" cm="1">
        <f t="array" ref="I10">INDEX($AD$49:$AK$52,$AK$24,AF47)</f>
        <v>8627.2157604693093</v>
      </c>
      <c r="J10" s="397" cm="1">
        <f t="array" ref="J10">INDEX($AD$49:$AK$52,$AK$24,AH47)</f>
        <v>559.18969195215482</v>
      </c>
      <c r="K10" s="444"/>
      <c r="L10" s="444" cm="1">
        <f t="array" ref="L10">INDEX($AD$49:$AK$52,$AK$24,AJ47)</f>
        <v>56.376819365302936</v>
      </c>
      <c r="M10" s="444" cm="1">
        <f t="array" ref="M10">INDEX($AD$49:$AK$52,$AK$24,AK47)</f>
        <v>33.953592025491638</v>
      </c>
      <c r="N10" s="444" cm="1">
        <f t="array" ref="N10">INDEX($AD$49:$AK$52,$AK$24,AG47)</f>
        <v>8.15885923254692</v>
      </c>
      <c r="O10" s="397" cm="1">
        <f t="array" ref="O10">INDEX($AD$49:$AK$52,$AK$24,AI47)</f>
        <v>804.75761231175557</v>
      </c>
      <c r="P10" s="399" cm="1">
        <f t="array" ref="P10">INDEX($AD$49:$AK$52,$AK$24,AI47)</f>
        <v>804.75761231175557</v>
      </c>
    </row>
    <row r="11" spans="1:23">
      <c r="B11" s="265" t="s">
        <v>167</v>
      </c>
      <c r="C11" s="117"/>
      <c r="D11" s="420">
        <v>550</v>
      </c>
      <c r="F11" s="330" t="s">
        <v>184</v>
      </c>
      <c r="G11" s="343"/>
      <c r="H11" s="445"/>
      <c r="I11" s="333">
        <f>I10/$H$10</f>
        <v>968.86021230493691</v>
      </c>
      <c r="J11" s="333">
        <f t="shared" ref="J11:P11" si="0">J10/$H$10</f>
        <v>62.798550390494121</v>
      </c>
      <c r="K11" s="333">
        <f t="shared" si="0"/>
        <v>0</v>
      </c>
      <c r="L11" s="335">
        <f t="shared" si="0"/>
        <v>6.3312728806000278</v>
      </c>
      <c r="M11" s="335">
        <f t="shared" si="0"/>
        <v>3.8130823769433033</v>
      </c>
      <c r="N11" s="446">
        <f t="shared" si="0"/>
        <v>0.91626247768509417</v>
      </c>
      <c r="O11" s="333">
        <f>O10/$H$10</f>
        <v>90.376507643523581</v>
      </c>
      <c r="P11" s="447">
        <f t="shared" si="0"/>
        <v>90.376507643523581</v>
      </c>
    </row>
    <row r="12" spans="1:23">
      <c r="B12" s="265" t="s">
        <v>288</v>
      </c>
      <c r="C12" s="123"/>
      <c r="D12" s="420">
        <v>1300</v>
      </c>
    </row>
    <row r="13" spans="1:23" ht="14.4" thickBot="1">
      <c r="B13" s="266" t="s">
        <v>289</v>
      </c>
      <c r="C13" s="421"/>
      <c r="D13" s="422">
        <v>7</v>
      </c>
      <c r="F13" s="423"/>
    </row>
    <row r="14" spans="1:23" ht="14.4">
      <c r="B14" s="424"/>
      <c r="F14" s="140"/>
      <c r="W14" s="125"/>
    </row>
    <row r="15" spans="1:23" ht="15.6">
      <c r="B15" s="11" t="s">
        <v>186</v>
      </c>
      <c r="C15" s="1"/>
      <c r="D15" s="1"/>
      <c r="E15" s="1"/>
      <c r="F15" s="13"/>
      <c r="G15" s="1"/>
      <c r="H15" s="1"/>
      <c r="I15" s="1"/>
      <c r="J15" s="1"/>
      <c r="K15" s="1"/>
      <c r="L15" s="1"/>
      <c r="M15" s="1"/>
      <c r="N15" s="1"/>
      <c r="O15" s="1"/>
      <c r="P15" s="1"/>
      <c r="Q15" s="1"/>
      <c r="R15" s="1"/>
      <c r="S15" s="1"/>
      <c r="T15" s="1"/>
      <c r="U15" s="1"/>
      <c r="V15" s="1"/>
      <c r="W15" s="1"/>
    </row>
    <row r="16" spans="1:23" ht="6.75" customHeight="1" thickBot="1">
      <c r="B16" s="1"/>
      <c r="C16" s="1"/>
      <c r="D16" s="1"/>
      <c r="E16" s="1"/>
      <c r="F16" s="13" t="str">
        <f>IF(ISBLANK($B16)," ",VLOOKUP($B16,'Liste des aliments'!$C$6:$W$282,2,FALSE))</f>
        <v xml:space="preserve"> </v>
      </c>
      <c r="G16" s="1"/>
      <c r="H16" s="1"/>
      <c r="I16" s="1"/>
      <c r="J16" s="1"/>
      <c r="K16" s="1"/>
      <c r="L16" s="1"/>
      <c r="M16" s="1"/>
      <c r="N16" s="1"/>
      <c r="O16" s="1"/>
      <c r="P16" s="1"/>
      <c r="Q16" s="1"/>
      <c r="R16" s="1"/>
      <c r="S16" s="1"/>
      <c r="T16" s="1"/>
      <c r="U16" s="1"/>
      <c r="V16" s="1"/>
      <c r="W16" s="1"/>
    </row>
    <row r="17" spans="1:41" s="132" customFormat="1" ht="31.5" customHeight="1" thickBot="1">
      <c r="A17" s="384"/>
      <c r="B17" s="448" t="s">
        <v>40</v>
      </c>
      <c r="C17" s="85" t="s">
        <v>187</v>
      </c>
      <c r="D17" s="85" t="s">
        <v>188</v>
      </c>
      <c r="E17" s="85" t="s">
        <v>189</v>
      </c>
      <c r="F17" s="85" t="s">
        <v>190</v>
      </c>
      <c r="G17" s="85" t="s">
        <v>191</v>
      </c>
      <c r="H17" s="85" t="s">
        <v>43</v>
      </c>
      <c r="I17" s="85" t="s">
        <v>44</v>
      </c>
      <c r="J17" s="85" t="s">
        <v>45</v>
      </c>
      <c r="K17" s="85" t="s">
        <v>47</v>
      </c>
      <c r="L17" s="85" t="s">
        <v>48</v>
      </c>
      <c r="M17" s="85" t="s">
        <v>49</v>
      </c>
      <c r="N17" s="85" t="s">
        <v>50</v>
      </c>
      <c r="O17" s="85" t="s">
        <v>51</v>
      </c>
      <c r="P17" s="85" t="s">
        <v>52</v>
      </c>
      <c r="Q17" s="85" t="s">
        <v>192</v>
      </c>
      <c r="R17" s="85" t="s">
        <v>54</v>
      </c>
      <c r="S17" s="85" t="s">
        <v>193</v>
      </c>
      <c r="T17" s="85" t="s">
        <v>56</v>
      </c>
      <c r="U17" s="85" t="s">
        <v>57</v>
      </c>
      <c r="V17" s="85" t="s">
        <v>59</v>
      </c>
      <c r="W17" s="86" t="s">
        <v>194</v>
      </c>
      <c r="X17" s="109"/>
      <c r="Y17" s="615"/>
      <c r="Z17" s="615"/>
      <c r="AA17" s="751"/>
      <c r="AB17" s="299"/>
      <c r="AC17" s="413"/>
      <c r="AD17" s="472" t="s">
        <v>231</v>
      </c>
      <c r="AE17" s="472" t="s">
        <v>287</v>
      </c>
      <c r="AF17" s="411"/>
      <c r="AG17" s="413"/>
      <c r="AH17" s="411"/>
      <c r="AI17" s="411"/>
      <c r="AJ17" s="411"/>
      <c r="AK17" s="411"/>
      <c r="AL17" s="411"/>
      <c r="AM17" s="295"/>
      <c r="AN17" s="615"/>
      <c r="AO17" s="295"/>
    </row>
    <row r="18" spans="1:41">
      <c r="A18" s="425"/>
      <c r="B18" s="426"/>
      <c r="C18" s="449" t="str">
        <f>IF(ISBLANK(B18),"",INDEX('Liste des aliments'!$B$6:$B$966,MATCH(B18,'Liste des aliments'!$C$6:$C$966,0)))</f>
        <v/>
      </c>
      <c r="D18" s="427"/>
      <c r="E18" s="428"/>
      <c r="F18" s="450" t="str">
        <f>IF(ISBLANK($B18)," ",VLOOKUP($B18,'Liste des aliments'!$C$6:$W$966,2,FALSE))</f>
        <v xml:space="preserve"> </v>
      </c>
      <c r="G18" s="451" t="str">
        <f t="shared" ref="G18" si="1">IF(ISBLANK(B18)," ",(D18*E18/100))</f>
        <v xml:space="preserve"> </v>
      </c>
      <c r="H18" s="452" t="str">
        <f>IF(ISBLANK($B18)," ",VLOOKUP($B18,'Liste des aliments'!$C$6:$W$966,4,FALSE))</f>
        <v xml:space="preserve"> </v>
      </c>
      <c r="I18" s="452" t="str">
        <f>IF(ISBLANK($B18)," ",VLOOKUP($B18,'Liste des aliments'!$C$6:$W$966,5,FALSE))</f>
        <v xml:space="preserve"> </v>
      </c>
      <c r="J18" s="452" t="str">
        <f>IF(ISBLANK($B18)," ",VLOOKUP($B18,'Liste des aliments'!$C$6:$W$966,6,FALSE))</f>
        <v xml:space="preserve"> </v>
      </c>
      <c r="K18" s="451" t="str">
        <f>IF(ISBLANK($B18)," ",VLOOKUP($B18,'Liste des aliments'!$C$6:$W$966,8,FALSE))</f>
        <v xml:space="preserve"> </v>
      </c>
      <c r="L18" s="452" t="str">
        <f>IF(ISBLANK($B18)," ",VLOOKUP($B18,'Liste des aliments'!$C$6:$W$966,9,FALSE))</f>
        <v xml:space="preserve"> </v>
      </c>
      <c r="M18" s="452" t="str">
        <f>IF(ISBLANK($B18)," ",VLOOKUP($B18,'Liste des aliments'!$C$6:$W$966,10,FALSE))</f>
        <v xml:space="preserve"> </v>
      </c>
      <c r="N18" s="452" t="str">
        <f>IF(ISBLANK($B18)," ",VLOOKUP($B18,'Liste des aliments'!$C$6:$W$966,11,FALSE))</f>
        <v xml:space="preserve"> </v>
      </c>
      <c r="O18" s="450" t="str">
        <f>IF(ISBLANK($B18)," ",VLOOKUP($B18,'Liste des aliments'!$C$6:$W$966,12,FALSE))</f>
        <v xml:space="preserve"> </v>
      </c>
      <c r="P18" s="450" t="str">
        <f>IF(ISBLANK($B18)," ",VLOOKUP($B18,'Liste des aliments'!$C$6:$W$966,13,FALSE))</f>
        <v xml:space="preserve"> </v>
      </c>
      <c r="Q18" s="452" t="str">
        <f>IF(ISBLANK($B18)," ",VLOOKUP($B18,'Liste des aliments'!$C$6:$W$966,14,FALSE))</f>
        <v xml:space="preserve"> </v>
      </c>
      <c r="R18" s="452" t="str">
        <f>IF(ISBLANK($B18)," ",VLOOKUP($B18,'Liste des aliments'!$C$6:$W$966,15,FALSE))</f>
        <v xml:space="preserve"> </v>
      </c>
      <c r="S18" s="452" t="str">
        <f>IF(ISBLANK($B18)," ",VLOOKUP($B18,'Liste des aliments'!$C$6:$W$966,16,FALSE))</f>
        <v xml:space="preserve"> </v>
      </c>
      <c r="T18" s="452" t="str">
        <f>IF(ISBLANK($B18)," ",VLOOKUP($B18,'Liste des aliments'!$C$6:$W$966,17,FALSE))</f>
        <v xml:space="preserve"> </v>
      </c>
      <c r="U18" s="452" t="str">
        <f>IF(ISBLANK($B18)," ",VLOOKUP($B18,'Liste des aliments'!$C$6:$W$966,18,FALSE))</f>
        <v xml:space="preserve"> </v>
      </c>
      <c r="V18" s="452" t="str">
        <f>IF(ISBLANK($B18)," ",VLOOKUP($B18,'Liste des aliments'!$C$6:$W$966,20,FALSE))</f>
        <v xml:space="preserve"> </v>
      </c>
      <c r="W18" s="429"/>
      <c r="AC18" s="411"/>
      <c r="AD18" s="473" t="s">
        <v>290</v>
      </c>
      <c r="AE18" s="472" t="s">
        <v>291</v>
      </c>
      <c r="AF18" s="411"/>
      <c r="AG18" s="411"/>
      <c r="AH18" s="411"/>
      <c r="AI18" s="411"/>
      <c r="AJ18" s="411"/>
      <c r="AK18" s="411"/>
      <c r="AL18" s="411"/>
    </row>
    <row r="19" spans="1:41">
      <c r="A19" s="425"/>
      <c r="B19" s="137"/>
      <c r="C19" s="89" t="str">
        <f>IF(ISBLANK(B19),"",INDEX('Liste des aliments'!$B$6:$B$966,MATCH(B19,'Liste des aliments'!$C$6:$C$966,0)))</f>
        <v/>
      </c>
      <c r="D19" s="138"/>
      <c r="E19" s="139"/>
      <c r="F19" s="13" t="str">
        <f>IF(ISBLANK($B19)," ",VLOOKUP($B19,'Liste des aliments'!$C$6:$W$966,2,FALSE))</f>
        <v xml:space="preserve"> </v>
      </c>
      <c r="G19" s="14" t="str">
        <f t="shared" ref="G19:G33" si="2">IF(ISBLANK(B19)," ",(D19*E19/100))</f>
        <v xml:space="preserve"> </v>
      </c>
      <c r="H19" s="12" t="str">
        <f>IF(ISBLANK($B19)," ",VLOOKUP($B19,'Liste des aliments'!$C$6:$W$966,4,FALSE))</f>
        <v xml:space="preserve"> </v>
      </c>
      <c r="I19" s="12" t="str">
        <f>IF(ISBLANK($B19)," ",VLOOKUP($B19,'Liste des aliments'!$C$6:$W$966,5,FALSE))</f>
        <v xml:space="preserve"> </v>
      </c>
      <c r="J19" s="12" t="str">
        <f>IF(ISBLANK($B19)," ",VLOOKUP($B19,'Liste des aliments'!$C$6:$W$966,6,FALSE))</f>
        <v xml:space="preserve"> </v>
      </c>
      <c r="K19" s="14" t="str">
        <f>IF(ISBLANK($B19)," ",VLOOKUP($B19,'Liste des aliments'!$C$6:$W$966,8,FALSE))</f>
        <v xml:space="preserve"> </v>
      </c>
      <c r="L19" s="12" t="str">
        <f>IF(ISBLANK($B19)," ",VLOOKUP($B19,'Liste des aliments'!$C$6:$W$966,9,FALSE))</f>
        <v xml:space="preserve"> </v>
      </c>
      <c r="M19" s="12" t="str">
        <f>IF(ISBLANK($B19)," ",VLOOKUP($B19,'Liste des aliments'!$C$6:$W$966,10,FALSE))</f>
        <v xml:space="preserve"> </v>
      </c>
      <c r="N19" s="12" t="str">
        <f>IF(ISBLANK($B19)," ",VLOOKUP($B19,'Liste des aliments'!$C$6:$W$966,11,FALSE))</f>
        <v xml:space="preserve"> </v>
      </c>
      <c r="O19" s="13" t="str">
        <f>IF(ISBLANK($B19)," ",VLOOKUP($B19,'Liste des aliments'!$C$6:$W$966,12,FALSE))</f>
        <v xml:space="preserve"> </v>
      </c>
      <c r="P19" s="13" t="str">
        <f>IF(ISBLANK($B19)," ",VLOOKUP($B19,'Liste des aliments'!$C$6:$W$966,13,FALSE))</f>
        <v xml:space="preserve"> </v>
      </c>
      <c r="Q19" s="12" t="str">
        <f>IF(ISBLANK($B19)," ",VLOOKUP($B19,'Liste des aliments'!$C$6:$W$966,14,FALSE))</f>
        <v xml:space="preserve"> </v>
      </c>
      <c r="R19" s="12" t="str">
        <f>IF(ISBLANK($B19)," ",VLOOKUP($B19,'Liste des aliments'!$C$6:$W$966,15,FALSE))</f>
        <v xml:space="preserve"> </v>
      </c>
      <c r="S19" s="12" t="str">
        <f>IF(ISBLANK($B19)," ",VLOOKUP($B19,'Liste des aliments'!$C$6:$W$966,16,FALSE))</f>
        <v xml:space="preserve"> </v>
      </c>
      <c r="T19" s="12" t="str">
        <f>IF(ISBLANK($B19)," ",VLOOKUP($B19,'Liste des aliments'!$C$6:$W$966,17,FALSE))</f>
        <v xml:space="preserve"> </v>
      </c>
      <c r="U19" s="12" t="str">
        <f>IF(ISBLANK($B19)," ",VLOOKUP($B19,'Liste des aliments'!$C$6:$W$966,18,FALSE))</f>
        <v xml:space="preserve"> </v>
      </c>
      <c r="V19" s="12" t="str">
        <f>IF(ISBLANK($B19)," ",VLOOKUP($B19,'Liste des aliments'!$C$6:$W$966,20,FALSE))</f>
        <v xml:space="preserve"> </v>
      </c>
      <c r="W19" s="107"/>
      <c r="AC19" s="411"/>
      <c r="AD19" s="473" t="s">
        <v>292</v>
      </c>
      <c r="AE19" s="472" t="s">
        <v>293</v>
      </c>
      <c r="AF19" s="411"/>
      <c r="AG19" s="411"/>
      <c r="AH19" s="411"/>
      <c r="AI19" s="411"/>
      <c r="AJ19" s="411"/>
      <c r="AK19" s="411"/>
      <c r="AL19" s="411"/>
    </row>
    <row r="20" spans="1:41" ht="14.4">
      <c r="A20" s="425"/>
      <c r="B20" s="137"/>
      <c r="C20" s="89" t="str">
        <f>IF(ISBLANK(B20),"",INDEX('Liste des aliments'!$B$6:$B$966,MATCH(B20,'Liste des aliments'!$C$6:$C$966,0)))</f>
        <v/>
      </c>
      <c r="D20" s="138"/>
      <c r="E20" s="139"/>
      <c r="F20" s="13" t="str">
        <f>IF(ISBLANK($B20)," ",VLOOKUP($B20,'Liste des aliments'!$C$6:$W$966,2,FALSE))</f>
        <v xml:space="preserve"> </v>
      </c>
      <c r="G20" s="14" t="str">
        <f t="shared" si="2"/>
        <v xml:space="preserve"> </v>
      </c>
      <c r="H20" s="12" t="str">
        <f>IF(ISBLANK($B20)," ",VLOOKUP($B20,'Liste des aliments'!$C$6:$W$966,4,FALSE))</f>
        <v xml:space="preserve"> </v>
      </c>
      <c r="I20" s="12" t="str">
        <f>IF(ISBLANK($B20)," ",VLOOKUP($B20,'Liste des aliments'!$C$6:$W$966,5,FALSE))</f>
        <v xml:space="preserve"> </v>
      </c>
      <c r="J20" s="12" t="str">
        <f>IF(ISBLANK($B20)," ",VLOOKUP($B20,'Liste des aliments'!$C$6:$W$966,6,FALSE))</f>
        <v xml:space="preserve"> </v>
      </c>
      <c r="K20" s="14" t="str">
        <f>IF(ISBLANK($B20)," ",VLOOKUP($B20,'Liste des aliments'!$C$6:$W$966,8,FALSE))</f>
        <v xml:space="preserve"> </v>
      </c>
      <c r="L20" s="12" t="str">
        <f>IF(ISBLANK($B20)," ",VLOOKUP($B20,'Liste des aliments'!$C$6:$W$966,9,FALSE))</f>
        <v xml:space="preserve"> </v>
      </c>
      <c r="M20" s="12" t="str">
        <f>IF(ISBLANK($B20)," ",VLOOKUP($B20,'Liste des aliments'!$C$6:$W$966,10,FALSE))</f>
        <v xml:space="preserve"> </v>
      </c>
      <c r="N20" s="12" t="str">
        <f>IF(ISBLANK($B20)," ",VLOOKUP($B20,'Liste des aliments'!$C$6:$W$966,11,FALSE))</f>
        <v xml:space="preserve"> </v>
      </c>
      <c r="O20" s="13" t="str">
        <f>IF(ISBLANK($B20)," ",VLOOKUP($B20,'Liste des aliments'!$C$6:$W$966,12,FALSE))</f>
        <v xml:space="preserve"> </v>
      </c>
      <c r="P20" s="13" t="str">
        <f>IF(ISBLANK($B20)," ",VLOOKUP($B20,'Liste des aliments'!$C$6:$W$966,13,FALSE))</f>
        <v xml:space="preserve"> </v>
      </c>
      <c r="Q20" s="12" t="str">
        <f>IF(ISBLANK($B20)," ",VLOOKUP($B20,'Liste des aliments'!$C$6:$W$966,14,FALSE))</f>
        <v xml:space="preserve"> </v>
      </c>
      <c r="R20" s="12" t="str">
        <f>IF(ISBLANK($B20)," ",VLOOKUP($B20,'Liste des aliments'!$C$6:$W$966,15,FALSE))</f>
        <v xml:space="preserve"> </v>
      </c>
      <c r="S20" s="12" t="str">
        <f>IF(ISBLANK($B20)," ",VLOOKUP($B20,'Liste des aliments'!$C$6:$W$966,16,FALSE))</f>
        <v xml:space="preserve"> </v>
      </c>
      <c r="T20" s="12" t="str">
        <f>IF(ISBLANK($B20)," ",VLOOKUP($B20,'Liste des aliments'!$C$6:$W$966,17,FALSE))</f>
        <v xml:space="preserve"> </v>
      </c>
      <c r="U20" s="12" t="str">
        <f>IF(ISBLANK($B20)," ",VLOOKUP($B20,'Liste des aliments'!$C$6:$W$966,18,FALSE))</f>
        <v xml:space="preserve"> </v>
      </c>
      <c r="V20" s="12" t="str">
        <f>IF(ISBLANK($B20)," ",VLOOKUP($B20,'Liste des aliments'!$C$6:$W$966,20,FALSE))</f>
        <v xml:space="preserve"> </v>
      </c>
      <c r="W20" s="107"/>
      <c r="AC20" s="411"/>
      <c r="AD20" s="473" t="s">
        <v>285</v>
      </c>
      <c r="AE20" s="472" t="s">
        <v>293</v>
      </c>
      <c r="AF20" s="411"/>
      <c r="AG20" s="411" t="s">
        <v>287</v>
      </c>
      <c r="AH20" s="411" t="s">
        <v>38</v>
      </c>
      <c r="AI20" s="411"/>
      <c r="AJ20" s="412" t="s">
        <v>294</v>
      </c>
      <c r="AK20" s="412"/>
      <c r="AL20" s="411"/>
    </row>
    <row r="21" spans="1:41" ht="15.6">
      <c r="A21" s="425"/>
      <c r="B21" s="137"/>
      <c r="C21" s="89" t="str">
        <f>IF(ISBLANK(B21),"",INDEX('Liste des aliments'!$B$6:$B$966,MATCH(B21,'Liste des aliments'!$C$6:$C$966,0)))</f>
        <v/>
      </c>
      <c r="D21" s="138"/>
      <c r="E21" s="139"/>
      <c r="F21" s="13" t="str">
        <f>IF(ISBLANK($B21)," ",VLOOKUP($B21,'Liste des aliments'!$C$6:$W$966,2,FALSE))</f>
        <v xml:space="preserve"> </v>
      </c>
      <c r="G21" s="14" t="str">
        <f t="shared" ref="G21" si="3">IF(ISBLANK(B21)," ",(D21*E21/100))</f>
        <v xml:space="preserve"> </v>
      </c>
      <c r="H21" s="12" t="str">
        <f>IF(ISBLANK($B21)," ",VLOOKUP($B21,'Liste des aliments'!$C$6:$W$966,4,FALSE))</f>
        <v xml:space="preserve"> </v>
      </c>
      <c r="I21" s="12" t="str">
        <f>IF(ISBLANK($B21)," ",VLOOKUP($B21,'Liste des aliments'!$C$6:$W$966,5,FALSE))</f>
        <v xml:space="preserve"> </v>
      </c>
      <c r="J21" s="12" t="str">
        <f>IF(ISBLANK($B21)," ",VLOOKUP($B21,'Liste des aliments'!$C$6:$W$966,6,FALSE))</f>
        <v xml:space="preserve"> </v>
      </c>
      <c r="K21" s="14" t="str">
        <f>IF(ISBLANK($B21)," ",VLOOKUP($B21,'Liste des aliments'!$C$6:$W$966,8,FALSE))</f>
        <v xml:space="preserve"> </v>
      </c>
      <c r="L21" s="12" t="str">
        <f>IF(ISBLANK($B21)," ",VLOOKUP($B21,'Liste des aliments'!$C$6:$W$966,9,FALSE))</f>
        <v xml:space="preserve"> </v>
      </c>
      <c r="M21" s="12" t="str">
        <f>IF(ISBLANK($B21)," ",VLOOKUP($B21,'Liste des aliments'!$C$6:$W$966,10,FALSE))</f>
        <v xml:space="preserve"> </v>
      </c>
      <c r="N21" s="12" t="str">
        <f>IF(ISBLANK($B21)," ",VLOOKUP($B21,'Liste des aliments'!$C$6:$W$966,11,FALSE))</f>
        <v xml:space="preserve"> </v>
      </c>
      <c r="O21" s="13" t="str">
        <f>IF(ISBLANK($B21)," ",VLOOKUP($B21,'Liste des aliments'!$C$6:$W$966,12,FALSE))</f>
        <v xml:space="preserve"> </v>
      </c>
      <c r="P21" s="13" t="str">
        <f>IF(ISBLANK($B21)," ",VLOOKUP($B21,'Liste des aliments'!$C$6:$W$966,13,FALSE))</f>
        <v xml:space="preserve"> </v>
      </c>
      <c r="Q21" s="12" t="str">
        <f>IF(ISBLANK($B21)," ",VLOOKUP($B21,'Liste des aliments'!$C$6:$W$966,14,FALSE))</f>
        <v xml:space="preserve"> </v>
      </c>
      <c r="R21" s="12" t="str">
        <f>IF(ISBLANK($B21)," ",VLOOKUP($B21,'Liste des aliments'!$C$6:$W$966,15,FALSE))</f>
        <v xml:space="preserve"> </v>
      </c>
      <c r="S21" s="12" t="str">
        <f>IF(ISBLANK($B21)," ",VLOOKUP($B21,'Liste des aliments'!$C$6:$W$966,16,FALSE))</f>
        <v xml:space="preserve"> </v>
      </c>
      <c r="T21" s="12" t="str">
        <f>IF(ISBLANK($B21)," ",VLOOKUP($B21,'Liste des aliments'!$C$6:$W$966,17,FALSE))</f>
        <v xml:space="preserve"> </v>
      </c>
      <c r="U21" s="12" t="str">
        <f>IF(ISBLANK($B21)," ",VLOOKUP($B21,'Liste des aliments'!$C$6:$W$966,18,FALSE))</f>
        <v xml:space="preserve"> </v>
      </c>
      <c r="V21" s="12" t="str">
        <f>IF(ISBLANK($B21)," ",VLOOKUP($B21,'Liste des aliments'!$C$6:$W$966,20,FALSE))</f>
        <v xml:space="preserve"> </v>
      </c>
      <c r="W21" s="107"/>
      <c r="AB21" s="474"/>
      <c r="AC21" s="411"/>
      <c r="AD21" s="473" t="s">
        <v>295</v>
      </c>
      <c r="AE21" s="472" t="s">
        <v>296</v>
      </c>
      <c r="AF21" s="411"/>
      <c r="AG21" s="411" t="s">
        <v>297</v>
      </c>
      <c r="AH21" s="411" t="s">
        <v>298</v>
      </c>
      <c r="AI21" s="411"/>
      <c r="AJ21" s="412" t="s">
        <v>299</v>
      </c>
      <c r="AK21" s="475">
        <f>D11</f>
        <v>550</v>
      </c>
      <c r="AL21" s="411"/>
    </row>
    <row r="22" spans="1:41" ht="14.4">
      <c r="A22" s="430"/>
      <c r="B22" s="137"/>
      <c r="C22" s="89" t="str">
        <f>IF(ISBLANK(B22),"",INDEX('Liste des aliments'!$B$6:$B$966,MATCH(B22,'Liste des aliments'!$C$6:$C$966,0)))</f>
        <v/>
      </c>
      <c r="D22" s="138"/>
      <c r="E22" s="139"/>
      <c r="F22" s="13" t="str">
        <f>IF(ISBLANK($B22)," ",VLOOKUP($B22,'Liste des aliments'!$C$6:$W$966,2,FALSE))</f>
        <v xml:space="preserve"> </v>
      </c>
      <c r="G22" s="14" t="str">
        <f t="shared" si="2"/>
        <v xml:space="preserve"> </v>
      </c>
      <c r="H22" s="12" t="str">
        <f>IF(ISBLANK($B22)," ",VLOOKUP($B22,'Liste des aliments'!$C$6:$W$966,4,FALSE))</f>
        <v xml:space="preserve"> </v>
      </c>
      <c r="I22" s="12" t="str">
        <f>IF(ISBLANK($B22)," ",VLOOKUP($B22,'Liste des aliments'!$C$6:$W$966,5,FALSE))</f>
        <v xml:space="preserve"> </v>
      </c>
      <c r="J22" s="12" t="str">
        <f>IF(ISBLANK($B22)," ",VLOOKUP($B22,'Liste des aliments'!$C$6:$W$966,6,FALSE))</f>
        <v xml:space="preserve"> </v>
      </c>
      <c r="K22" s="14" t="str">
        <f>IF(ISBLANK($B22)," ",VLOOKUP($B22,'Liste des aliments'!$C$6:$W$966,8,FALSE))</f>
        <v xml:space="preserve"> </v>
      </c>
      <c r="L22" s="12" t="str">
        <f>IF(ISBLANK($B22)," ",VLOOKUP($B22,'Liste des aliments'!$C$6:$W$966,9,FALSE))</f>
        <v xml:space="preserve"> </v>
      </c>
      <c r="M22" s="12" t="str">
        <f>IF(ISBLANK($B22)," ",VLOOKUP($B22,'Liste des aliments'!$C$6:$W$966,10,FALSE))</f>
        <v xml:space="preserve"> </v>
      </c>
      <c r="N22" s="12" t="str">
        <f>IF(ISBLANK($B22)," ",VLOOKUP($B22,'Liste des aliments'!$C$6:$W$966,11,FALSE))</f>
        <v xml:space="preserve"> </v>
      </c>
      <c r="O22" s="13" t="str">
        <f>IF(ISBLANK($B22)," ",VLOOKUP($B22,'Liste des aliments'!$C$6:$W$966,12,FALSE))</f>
        <v xml:space="preserve"> </v>
      </c>
      <c r="P22" s="13" t="str">
        <f>IF(ISBLANK($B22)," ",VLOOKUP($B22,'Liste des aliments'!$C$6:$W$966,13,FALSE))</f>
        <v xml:space="preserve"> </v>
      </c>
      <c r="Q22" s="12" t="str">
        <f>IF(ISBLANK($B22)," ",VLOOKUP($B22,'Liste des aliments'!$C$6:$W$966,14,FALSE))</f>
        <v xml:space="preserve"> </v>
      </c>
      <c r="R22" s="12" t="str">
        <f>IF(ISBLANK($B22)," ",VLOOKUP($B22,'Liste des aliments'!$C$6:$W$966,15,FALSE))</f>
        <v xml:space="preserve"> </v>
      </c>
      <c r="S22" s="12" t="str">
        <f>IF(ISBLANK($B22)," ",VLOOKUP($B22,'Liste des aliments'!$C$6:$W$966,16,FALSE))</f>
        <v xml:space="preserve"> </v>
      </c>
      <c r="T22" s="12" t="str">
        <f>IF(ISBLANK($B22)," ",VLOOKUP($B22,'Liste des aliments'!$C$6:$W$966,17,FALSE))</f>
        <v xml:space="preserve"> </v>
      </c>
      <c r="U22" s="12" t="str">
        <f>IF(ISBLANK($B22)," ",VLOOKUP($B22,'Liste des aliments'!$C$6:$W$966,18,FALSE))</f>
        <v xml:space="preserve"> </v>
      </c>
      <c r="V22" s="12" t="str">
        <f>IF(ISBLANK($B22)," ",VLOOKUP($B22,'Liste des aliments'!$C$6:$W$966,20,FALSE))</f>
        <v xml:space="preserve"> </v>
      </c>
      <c r="W22" s="107"/>
      <c r="AB22" s="476"/>
      <c r="AC22" s="411"/>
      <c r="AD22" s="473" t="s">
        <v>300</v>
      </c>
      <c r="AE22" s="472" t="s">
        <v>297</v>
      </c>
      <c r="AF22" s="411"/>
      <c r="AG22" s="411" t="s">
        <v>291</v>
      </c>
      <c r="AH22" s="411" t="s">
        <v>301</v>
      </c>
      <c r="AI22" s="411"/>
      <c r="AJ22" s="412" t="s">
        <v>266</v>
      </c>
      <c r="AK22" s="475">
        <f>D12</f>
        <v>1300</v>
      </c>
      <c r="AL22" s="411"/>
    </row>
    <row r="23" spans="1:41" ht="14.4">
      <c r="A23" s="430"/>
      <c r="B23" s="137"/>
      <c r="C23" s="89" t="str">
        <f>IF(ISBLANK(B23),"",INDEX('Liste des aliments'!$B$6:$B$966,MATCH(B23,'Liste des aliments'!$C$6:$C$966,0)))</f>
        <v/>
      </c>
      <c r="D23" s="138"/>
      <c r="E23" s="139"/>
      <c r="F23" s="13" t="str">
        <f>IF(ISBLANK($B23)," ",VLOOKUP($B23,'Liste des aliments'!$C$6:$W$966,2,FALSE))</f>
        <v xml:space="preserve"> </v>
      </c>
      <c r="G23" s="14" t="str">
        <f t="shared" si="2"/>
        <v xml:space="preserve"> </v>
      </c>
      <c r="H23" s="12" t="str">
        <f>IF(ISBLANK($B23)," ",VLOOKUP($B23,'Liste des aliments'!$C$6:$W$966,4,FALSE))</f>
        <v xml:space="preserve"> </v>
      </c>
      <c r="I23" s="12" t="str">
        <f>IF(ISBLANK($B23)," ",VLOOKUP($B23,'Liste des aliments'!$C$6:$W$966,5,FALSE))</f>
        <v xml:space="preserve"> </v>
      </c>
      <c r="J23" s="12" t="str">
        <f>IF(ISBLANK($B23)," ",VLOOKUP($B23,'Liste des aliments'!$C$6:$W$966,6,FALSE))</f>
        <v xml:space="preserve"> </v>
      </c>
      <c r="K23" s="14" t="str">
        <f>IF(ISBLANK($B23)," ",VLOOKUP($B23,'Liste des aliments'!$C$6:$W$966,8,FALSE))</f>
        <v xml:space="preserve"> </v>
      </c>
      <c r="L23" s="12" t="str">
        <f>IF(ISBLANK($B23)," ",VLOOKUP($B23,'Liste des aliments'!$C$6:$W$966,9,FALSE))</f>
        <v xml:space="preserve"> </v>
      </c>
      <c r="M23" s="12" t="str">
        <f>IF(ISBLANK($B23)," ",VLOOKUP($B23,'Liste des aliments'!$C$6:$W$966,10,FALSE))</f>
        <v xml:space="preserve"> </v>
      </c>
      <c r="N23" s="12" t="str">
        <f>IF(ISBLANK($B23)," ",VLOOKUP($B23,'Liste des aliments'!$C$6:$W$966,11,FALSE))</f>
        <v xml:space="preserve"> </v>
      </c>
      <c r="O23" s="13" t="str">
        <f>IF(ISBLANK($B23)," ",VLOOKUP($B23,'Liste des aliments'!$C$6:$W$966,12,FALSE))</f>
        <v xml:space="preserve"> </v>
      </c>
      <c r="P23" s="13" t="str">
        <f>IF(ISBLANK($B23)," ",VLOOKUP($B23,'Liste des aliments'!$C$6:$W$966,13,FALSE))</f>
        <v xml:space="preserve"> </v>
      </c>
      <c r="Q23" s="12" t="str">
        <f>IF(ISBLANK($B23)," ",VLOOKUP($B23,'Liste des aliments'!$C$6:$W$966,14,FALSE))</f>
        <v xml:space="preserve"> </v>
      </c>
      <c r="R23" s="12" t="str">
        <f>IF(ISBLANK($B23)," ",VLOOKUP($B23,'Liste des aliments'!$C$6:$W$966,15,FALSE))</f>
        <v xml:space="preserve"> </v>
      </c>
      <c r="S23" s="12" t="str">
        <f>IF(ISBLANK($B23)," ",VLOOKUP($B23,'Liste des aliments'!$C$6:$W$966,16,FALSE))</f>
        <v xml:space="preserve"> </v>
      </c>
      <c r="T23" s="12" t="str">
        <f>IF(ISBLANK($B23)," ",VLOOKUP($B23,'Liste des aliments'!$C$6:$W$966,17,FALSE))</f>
        <v xml:space="preserve"> </v>
      </c>
      <c r="U23" s="12" t="str">
        <f>IF(ISBLANK($B23)," ",VLOOKUP($B23,'Liste des aliments'!$C$6:$W$966,18,FALSE))</f>
        <v xml:space="preserve"> </v>
      </c>
      <c r="V23" s="12" t="str">
        <f>IF(ISBLANK($B23)," ",VLOOKUP($B23,'Liste des aliments'!$C$6:$W$966,20,FALSE))</f>
        <v xml:space="preserve"> </v>
      </c>
      <c r="W23" s="107"/>
      <c r="AC23" s="411"/>
      <c r="AD23" s="473" t="s">
        <v>302</v>
      </c>
      <c r="AE23" s="472" t="s">
        <v>293</v>
      </c>
      <c r="AF23" s="411"/>
      <c r="AG23" s="411" t="s">
        <v>296</v>
      </c>
      <c r="AH23" s="411" t="s">
        <v>303</v>
      </c>
      <c r="AI23" s="411"/>
      <c r="AJ23" s="412" t="s">
        <v>304</v>
      </c>
      <c r="AK23" s="477" t="str" cm="1">
        <f t="array" ref="AK23">_xlfn.IFS(D10=AG21,"a",D10=AG22,"b",D10=AG23,"c",D10=AG24,"d")</f>
        <v>d</v>
      </c>
      <c r="AL23" s="411"/>
    </row>
    <row r="24" spans="1:41" ht="14.4">
      <c r="A24" s="430"/>
      <c r="B24" s="137"/>
      <c r="C24" s="89" t="str">
        <f>IF(ISBLANK(B24),"",INDEX('Liste des aliments'!$B$6:$B$966,MATCH(B24,'Liste des aliments'!$C$6:$C$966,0)))</f>
        <v/>
      </c>
      <c r="D24" s="138"/>
      <c r="E24" s="139"/>
      <c r="F24" s="13" t="str">
        <f>IF(ISBLANK($B24)," ",VLOOKUP($B24,'Liste des aliments'!$C$6:$W$966,2,FALSE))</f>
        <v xml:space="preserve"> </v>
      </c>
      <c r="G24" s="14" t="str">
        <f t="shared" si="2"/>
        <v xml:space="preserve"> </v>
      </c>
      <c r="H24" s="12" t="str">
        <f>IF(ISBLANK($B24)," ",VLOOKUP($B24,'Liste des aliments'!$C$6:$W$966,4,FALSE))</f>
        <v xml:space="preserve"> </v>
      </c>
      <c r="I24" s="12" t="str">
        <f>IF(ISBLANK($B24)," ",VLOOKUP($B24,'Liste des aliments'!$C$6:$W$966,5,FALSE))</f>
        <v xml:space="preserve"> </v>
      </c>
      <c r="J24" s="12" t="str">
        <f>IF(ISBLANK($B24)," ",VLOOKUP($B24,'Liste des aliments'!$C$6:$W$966,6,FALSE))</f>
        <v xml:space="preserve"> </v>
      </c>
      <c r="K24" s="14" t="str">
        <f>IF(ISBLANK($B24)," ",VLOOKUP($B24,'Liste des aliments'!$C$6:$W$966,8,FALSE))</f>
        <v xml:space="preserve"> </v>
      </c>
      <c r="L24" s="12" t="str">
        <f>IF(ISBLANK($B24)," ",VLOOKUP($B24,'Liste des aliments'!$C$6:$W$966,9,FALSE))</f>
        <v xml:space="preserve"> </v>
      </c>
      <c r="M24" s="12" t="str">
        <f>IF(ISBLANK($B24)," ",VLOOKUP($B24,'Liste des aliments'!$C$6:$W$966,10,FALSE))</f>
        <v xml:space="preserve"> </v>
      </c>
      <c r="N24" s="12" t="str">
        <f>IF(ISBLANK($B24)," ",VLOOKUP($B24,'Liste des aliments'!$C$6:$W$966,11,FALSE))</f>
        <v xml:space="preserve"> </v>
      </c>
      <c r="O24" s="13" t="str">
        <f>IF(ISBLANK($B24)," ",VLOOKUP($B24,'Liste des aliments'!$C$6:$W$966,12,FALSE))</f>
        <v xml:space="preserve"> </v>
      </c>
      <c r="P24" s="13" t="str">
        <f>IF(ISBLANK($B24)," ",VLOOKUP($B24,'Liste des aliments'!$C$6:$W$966,13,FALSE))</f>
        <v xml:space="preserve"> </v>
      </c>
      <c r="Q24" s="12" t="str">
        <f>IF(ISBLANK($B24)," ",VLOOKUP($B24,'Liste des aliments'!$C$6:$W$966,14,FALSE))</f>
        <v xml:space="preserve"> </v>
      </c>
      <c r="R24" s="12" t="str">
        <f>IF(ISBLANK($B24)," ",VLOOKUP($B24,'Liste des aliments'!$C$6:$W$966,15,FALSE))</f>
        <v xml:space="preserve"> </v>
      </c>
      <c r="S24" s="12" t="str">
        <f>IF(ISBLANK($B24)," ",VLOOKUP($B24,'Liste des aliments'!$C$6:$W$966,16,FALSE))</f>
        <v xml:space="preserve"> </v>
      </c>
      <c r="T24" s="12" t="str">
        <f>IF(ISBLANK($B24)," ",VLOOKUP($B24,'Liste des aliments'!$C$6:$W$966,17,FALSE))</f>
        <v xml:space="preserve"> </v>
      </c>
      <c r="U24" s="12" t="str">
        <f>IF(ISBLANK($B24)," ",VLOOKUP($B24,'Liste des aliments'!$C$6:$W$966,18,FALSE))</f>
        <v xml:space="preserve"> </v>
      </c>
      <c r="V24" s="12" t="str">
        <f>IF(ISBLANK($B24)," ",VLOOKUP($B24,'Liste des aliments'!$C$6:$W$966,20,FALSE))</f>
        <v xml:space="preserve"> </v>
      </c>
      <c r="W24" s="107"/>
      <c r="AC24" s="411"/>
      <c r="AD24" s="473" t="s">
        <v>305</v>
      </c>
      <c r="AE24" s="472" t="s">
        <v>291</v>
      </c>
      <c r="AF24" s="411"/>
      <c r="AG24" s="411" t="s">
        <v>293</v>
      </c>
      <c r="AH24" s="411" t="s">
        <v>306</v>
      </c>
      <c r="AI24" s="411"/>
      <c r="AJ24" s="411"/>
      <c r="AK24" s="477" t="str" cm="1">
        <f t="array" ref="AK24">_xlfn.IFS(D10=AG21,"1",D10=AG22,"2",D10=AG23,"3",D10=AG24,"4")</f>
        <v>4</v>
      </c>
      <c r="AL24" s="411"/>
    </row>
    <row r="25" spans="1:41">
      <c r="A25" s="425"/>
      <c r="B25" s="137"/>
      <c r="C25" s="89" t="str">
        <f>IF(ISBLANK(B25),"",INDEX('Liste des aliments'!$B$6:$B$966,MATCH(B25,'Liste des aliments'!$C$6:$C$966,0)))</f>
        <v/>
      </c>
      <c r="D25" s="138"/>
      <c r="E25" s="139"/>
      <c r="F25" s="13" t="str">
        <f>IF(ISBLANK($B25)," ",VLOOKUP($B25,'Liste des aliments'!$C$6:$W$966,2,FALSE))</f>
        <v xml:space="preserve"> </v>
      </c>
      <c r="G25" s="14" t="str">
        <f t="shared" si="2"/>
        <v xml:space="preserve"> </v>
      </c>
      <c r="H25" s="12" t="str">
        <f>IF(ISBLANK($B25)," ",VLOOKUP($B25,'Liste des aliments'!$C$6:$W$966,4,FALSE))</f>
        <v xml:space="preserve"> </v>
      </c>
      <c r="I25" s="12" t="str">
        <f>IF(ISBLANK($B25)," ",VLOOKUP($B25,'Liste des aliments'!$C$6:$W$966,5,FALSE))</f>
        <v xml:space="preserve"> </v>
      </c>
      <c r="J25" s="12" t="str">
        <f>IF(ISBLANK($B25)," ",VLOOKUP($B25,'Liste des aliments'!$C$6:$W$966,6,FALSE))</f>
        <v xml:space="preserve"> </v>
      </c>
      <c r="K25" s="14" t="str">
        <f>IF(ISBLANK($B25)," ",VLOOKUP($B25,'Liste des aliments'!$C$6:$W$966,8,FALSE))</f>
        <v xml:space="preserve"> </v>
      </c>
      <c r="L25" s="12" t="str">
        <f>IF(ISBLANK($B25)," ",VLOOKUP($B25,'Liste des aliments'!$C$6:$W$966,9,FALSE))</f>
        <v xml:space="preserve"> </v>
      </c>
      <c r="M25" s="12" t="str">
        <f>IF(ISBLANK($B25)," ",VLOOKUP($B25,'Liste des aliments'!$C$6:$W$966,10,FALSE))</f>
        <v xml:space="preserve"> </v>
      </c>
      <c r="N25" s="12" t="str">
        <f>IF(ISBLANK($B25)," ",VLOOKUP($B25,'Liste des aliments'!$C$6:$W$966,11,FALSE))</f>
        <v xml:space="preserve"> </v>
      </c>
      <c r="O25" s="13" t="str">
        <f>IF(ISBLANK($B25)," ",VLOOKUP($B25,'Liste des aliments'!$C$6:$W$966,12,FALSE))</f>
        <v xml:space="preserve"> </v>
      </c>
      <c r="P25" s="13" t="str">
        <f>IF(ISBLANK($B25)," ",VLOOKUP($B25,'Liste des aliments'!$C$6:$W$966,13,FALSE))</f>
        <v xml:space="preserve"> </v>
      </c>
      <c r="Q25" s="12" t="str">
        <f>IF(ISBLANK($B25)," ",VLOOKUP($B25,'Liste des aliments'!$C$6:$W$966,14,FALSE))</f>
        <v xml:space="preserve"> </v>
      </c>
      <c r="R25" s="12" t="str">
        <f>IF(ISBLANK($B25)," ",VLOOKUP($B25,'Liste des aliments'!$C$6:$W$966,15,FALSE))</f>
        <v xml:space="preserve"> </v>
      </c>
      <c r="S25" s="12" t="str">
        <f>IF(ISBLANK($B25)," ",VLOOKUP($B25,'Liste des aliments'!$C$6:$W$966,16,FALSE))</f>
        <v xml:space="preserve"> </v>
      </c>
      <c r="T25" s="12" t="str">
        <f>IF(ISBLANK($B25)," ",VLOOKUP($B25,'Liste des aliments'!$C$6:$W$966,17,FALSE))</f>
        <v xml:space="preserve"> </v>
      </c>
      <c r="U25" s="12" t="str">
        <f>IF(ISBLANK($B25)," ",VLOOKUP($B25,'Liste des aliments'!$C$6:$W$966,18,FALSE))</f>
        <v xml:space="preserve"> </v>
      </c>
      <c r="V25" s="12" t="str">
        <f>IF(ISBLANK($B25)," ",VLOOKUP($B25,'Liste des aliments'!$C$6:$W$966,20,FALSE))</f>
        <v xml:space="preserve"> </v>
      </c>
      <c r="W25" s="107"/>
      <c r="AC25" s="411"/>
      <c r="AD25" s="473" t="s">
        <v>307</v>
      </c>
      <c r="AE25" s="472" t="s">
        <v>291</v>
      </c>
      <c r="AF25" s="411"/>
      <c r="AG25" s="411"/>
      <c r="AH25" s="411"/>
      <c r="AI25" s="411"/>
      <c r="AJ25" s="411"/>
      <c r="AK25" s="411"/>
      <c r="AL25" s="411"/>
    </row>
    <row r="26" spans="1:41">
      <c r="A26" s="425"/>
      <c r="B26" s="137"/>
      <c r="C26" s="89" t="str">
        <f>IF(ISBLANK(B26),"",INDEX('Liste des aliments'!$B$6:$B$966,MATCH(B26,'Liste des aliments'!$C$6:$C$966,0)))</f>
        <v/>
      </c>
      <c r="D26" s="138"/>
      <c r="E26" s="139"/>
      <c r="F26" s="13" t="str">
        <f>IF(ISBLANK($B26)," ",VLOOKUP($B26,'Liste des aliments'!$C$6:$W$966,2,FALSE))</f>
        <v xml:space="preserve"> </v>
      </c>
      <c r="G26" s="14" t="str">
        <f t="shared" si="2"/>
        <v xml:space="preserve"> </v>
      </c>
      <c r="H26" s="12" t="str">
        <f>IF(ISBLANK($B26)," ",VLOOKUP($B26,'Liste des aliments'!$C$6:$W$966,4,FALSE))</f>
        <v xml:space="preserve"> </v>
      </c>
      <c r="I26" s="12" t="str">
        <f>IF(ISBLANK($B26)," ",VLOOKUP($B26,'Liste des aliments'!$C$6:$W$966,5,FALSE))</f>
        <v xml:space="preserve"> </v>
      </c>
      <c r="J26" s="12" t="str">
        <f>IF(ISBLANK($B26)," ",VLOOKUP($B26,'Liste des aliments'!$C$6:$W$966,6,FALSE))</f>
        <v xml:space="preserve"> </v>
      </c>
      <c r="K26" s="14" t="str">
        <f>IF(ISBLANK($B26)," ",VLOOKUP($B26,'Liste des aliments'!$C$6:$W$966,8,FALSE))</f>
        <v xml:space="preserve"> </v>
      </c>
      <c r="L26" s="12" t="str">
        <f>IF(ISBLANK($B26)," ",VLOOKUP($B26,'Liste des aliments'!$C$6:$W$966,9,FALSE))</f>
        <v xml:space="preserve"> </v>
      </c>
      <c r="M26" s="12" t="str">
        <f>IF(ISBLANK($B26)," ",VLOOKUP($B26,'Liste des aliments'!$C$6:$W$966,10,FALSE))</f>
        <v xml:space="preserve"> </v>
      </c>
      <c r="N26" s="12" t="str">
        <f>IF(ISBLANK($B26)," ",VLOOKUP($B26,'Liste des aliments'!$C$6:$W$966,11,FALSE))</f>
        <v xml:space="preserve"> </v>
      </c>
      <c r="O26" s="13" t="str">
        <f>IF(ISBLANK($B26)," ",VLOOKUP($B26,'Liste des aliments'!$C$6:$W$966,12,FALSE))</f>
        <v xml:space="preserve"> </v>
      </c>
      <c r="P26" s="13" t="str">
        <f>IF(ISBLANK($B26)," ",VLOOKUP($B26,'Liste des aliments'!$C$6:$W$966,13,FALSE))</f>
        <v xml:space="preserve"> </v>
      </c>
      <c r="Q26" s="12" t="str">
        <f>IF(ISBLANK($B26)," ",VLOOKUP($B26,'Liste des aliments'!$C$6:$W$966,14,FALSE))</f>
        <v xml:space="preserve"> </v>
      </c>
      <c r="R26" s="12" t="str">
        <f>IF(ISBLANK($B26)," ",VLOOKUP($B26,'Liste des aliments'!$C$6:$W$966,15,FALSE))</f>
        <v xml:space="preserve"> </v>
      </c>
      <c r="S26" s="12" t="str">
        <f>IF(ISBLANK($B26)," ",VLOOKUP($B26,'Liste des aliments'!$C$6:$W$966,16,FALSE))</f>
        <v xml:space="preserve"> </v>
      </c>
      <c r="T26" s="12" t="str">
        <f>IF(ISBLANK($B26)," ",VLOOKUP($B26,'Liste des aliments'!$C$6:$W$966,17,FALSE))</f>
        <v xml:space="preserve"> </v>
      </c>
      <c r="U26" s="12" t="str">
        <f>IF(ISBLANK($B26)," ",VLOOKUP($B26,'Liste des aliments'!$C$6:$W$966,18,FALSE))</f>
        <v xml:space="preserve"> </v>
      </c>
      <c r="V26" s="12" t="str">
        <f>IF(ISBLANK($B26)," ",VLOOKUP($B26,'Liste des aliments'!$C$6:$W$966,20,FALSE))</f>
        <v xml:space="preserve"> </v>
      </c>
      <c r="W26" s="107"/>
      <c r="AC26" s="411"/>
      <c r="AD26" s="473" t="s">
        <v>308</v>
      </c>
      <c r="AE26" s="472" t="s">
        <v>291</v>
      </c>
      <c r="AF26" s="411"/>
      <c r="AG26" s="411"/>
      <c r="AH26" s="411"/>
      <c r="AI26" s="411"/>
      <c r="AJ26" s="411"/>
      <c r="AK26" s="411"/>
      <c r="AL26" s="411"/>
    </row>
    <row r="27" spans="1:41">
      <c r="A27" s="425"/>
      <c r="B27" s="137"/>
      <c r="C27" s="89" t="str">
        <f>IF(ISBLANK(B27),"",INDEX('Liste des aliments'!$B$6:$B$966,MATCH(B27,'Liste des aliments'!$C$6:$C$966,0)))</f>
        <v/>
      </c>
      <c r="D27" s="138"/>
      <c r="E27" s="139"/>
      <c r="F27" s="13" t="str">
        <f>IF(ISBLANK($B27)," ",VLOOKUP($B27,'Liste des aliments'!$C$6:$W$966,2,FALSE))</f>
        <v xml:space="preserve"> </v>
      </c>
      <c r="G27" s="14" t="str">
        <f t="shared" si="2"/>
        <v xml:space="preserve"> </v>
      </c>
      <c r="H27" s="12" t="str">
        <f>IF(ISBLANK($B27)," ",VLOOKUP($B27,'Liste des aliments'!$C$6:$W$966,4,FALSE))</f>
        <v xml:space="preserve"> </v>
      </c>
      <c r="I27" s="12" t="str">
        <f>IF(ISBLANK($B27)," ",VLOOKUP($B27,'Liste des aliments'!$C$6:$W$966,5,FALSE))</f>
        <v xml:space="preserve"> </v>
      </c>
      <c r="J27" s="12" t="str">
        <f>IF(ISBLANK($B27)," ",VLOOKUP($B27,'Liste des aliments'!$C$6:$W$966,6,FALSE))</f>
        <v xml:space="preserve"> </v>
      </c>
      <c r="K27" s="14" t="str">
        <f>IF(ISBLANK($B27)," ",VLOOKUP($B27,'Liste des aliments'!$C$6:$W$966,8,FALSE))</f>
        <v xml:space="preserve"> </v>
      </c>
      <c r="L27" s="12" t="str">
        <f>IF(ISBLANK($B27)," ",VLOOKUP($B27,'Liste des aliments'!$C$6:$W$966,9,FALSE))</f>
        <v xml:space="preserve"> </v>
      </c>
      <c r="M27" s="12" t="str">
        <f>IF(ISBLANK($B27)," ",VLOOKUP($B27,'Liste des aliments'!$C$6:$W$966,10,FALSE))</f>
        <v xml:space="preserve"> </v>
      </c>
      <c r="N27" s="12" t="str">
        <f>IF(ISBLANK($B27)," ",VLOOKUP($B27,'Liste des aliments'!$C$6:$W$966,11,FALSE))</f>
        <v xml:space="preserve"> </v>
      </c>
      <c r="O27" s="13" t="str">
        <f>IF(ISBLANK($B27)," ",VLOOKUP($B27,'Liste des aliments'!$C$6:$W$966,12,FALSE))</f>
        <v xml:space="preserve"> </v>
      </c>
      <c r="P27" s="13" t="str">
        <f>IF(ISBLANK($B27)," ",VLOOKUP($B27,'Liste des aliments'!$C$6:$W$966,13,FALSE))</f>
        <v xml:space="preserve"> </v>
      </c>
      <c r="Q27" s="12" t="str">
        <f>IF(ISBLANK($B27)," ",VLOOKUP($B27,'Liste des aliments'!$C$6:$W$966,14,FALSE))</f>
        <v xml:space="preserve"> </v>
      </c>
      <c r="R27" s="12" t="str">
        <f>IF(ISBLANK($B27)," ",VLOOKUP($B27,'Liste des aliments'!$C$6:$W$966,15,FALSE))</f>
        <v xml:space="preserve"> </v>
      </c>
      <c r="S27" s="12" t="str">
        <f>IF(ISBLANK($B27)," ",VLOOKUP($B27,'Liste des aliments'!$C$6:$W$966,16,FALSE))</f>
        <v xml:space="preserve"> </v>
      </c>
      <c r="T27" s="12" t="str">
        <f>IF(ISBLANK($B27)," ",VLOOKUP($B27,'Liste des aliments'!$C$6:$W$966,17,FALSE))</f>
        <v xml:space="preserve"> </v>
      </c>
      <c r="U27" s="12" t="str">
        <f>IF(ISBLANK($B27)," ",VLOOKUP($B27,'Liste des aliments'!$C$6:$W$966,18,FALSE))</f>
        <v xml:space="preserve"> </v>
      </c>
      <c r="V27" s="12" t="str">
        <f>IF(ISBLANK($B27)," ",VLOOKUP($B27,'Liste des aliments'!$C$6:$W$966,20,FALSE))</f>
        <v xml:space="preserve"> </v>
      </c>
      <c r="W27" s="107"/>
      <c r="AC27" s="411"/>
      <c r="AD27" s="411"/>
      <c r="AE27" s="411"/>
      <c r="AF27" s="411"/>
      <c r="AG27" s="411"/>
      <c r="AH27" s="411"/>
      <c r="AI27" s="411"/>
      <c r="AJ27" s="411"/>
      <c r="AK27" s="411"/>
      <c r="AL27" s="411"/>
    </row>
    <row r="28" spans="1:41">
      <c r="A28" s="425"/>
      <c r="B28" s="137"/>
      <c r="C28" s="89" t="str">
        <f>IF(ISBLANK(B28),"",INDEX('Liste des aliments'!$B$6:$B$966,MATCH(B28,'Liste des aliments'!$C$6:$C$966,0)))</f>
        <v/>
      </c>
      <c r="D28" s="138"/>
      <c r="E28" s="139"/>
      <c r="F28" s="13" t="str">
        <f>IF(ISBLANK($B28)," ",VLOOKUP($B28,'Liste des aliments'!$C$6:$W$966,2,FALSE))</f>
        <v xml:space="preserve"> </v>
      </c>
      <c r="G28" s="14" t="str">
        <f t="shared" si="2"/>
        <v xml:space="preserve"> </v>
      </c>
      <c r="H28" s="12" t="str">
        <f>IF(ISBLANK($B28)," ",VLOOKUP($B28,'Liste des aliments'!$C$6:$W$966,4,FALSE))</f>
        <v xml:space="preserve"> </v>
      </c>
      <c r="I28" s="12" t="str">
        <f>IF(ISBLANK($B28)," ",VLOOKUP($B28,'Liste des aliments'!$C$6:$W$966,5,FALSE))</f>
        <v xml:space="preserve"> </v>
      </c>
      <c r="J28" s="12" t="str">
        <f>IF(ISBLANK($B28)," ",VLOOKUP($B28,'Liste des aliments'!$C$6:$W$966,6,FALSE))</f>
        <v xml:space="preserve"> </v>
      </c>
      <c r="K28" s="14" t="str">
        <f>IF(ISBLANK($B28)," ",VLOOKUP($B28,'Liste des aliments'!$C$6:$W$966,8,FALSE))</f>
        <v xml:space="preserve"> </v>
      </c>
      <c r="L28" s="12" t="str">
        <f>IF(ISBLANK($B28)," ",VLOOKUP($B28,'Liste des aliments'!$C$6:$W$966,9,FALSE))</f>
        <v xml:space="preserve"> </v>
      </c>
      <c r="M28" s="12" t="str">
        <f>IF(ISBLANK($B28)," ",VLOOKUP($B28,'Liste des aliments'!$C$6:$W$966,10,FALSE))</f>
        <v xml:space="preserve"> </v>
      </c>
      <c r="N28" s="12" t="str">
        <f>IF(ISBLANK($B28)," ",VLOOKUP($B28,'Liste des aliments'!$C$6:$W$966,11,FALSE))</f>
        <v xml:space="preserve"> </v>
      </c>
      <c r="O28" s="13" t="str">
        <f>IF(ISBLANK($B28)," ",VLOOKUP($B28,'Liste des aliments'!$C$6:$W$966,12,FALSE))</f>
        <v xml:space="preserve"> </v>
      </c>
      <c r="P28" s="13" t="str">
        <f>IF(ISBLANK($B28)," ",VLOOKUP($B28,'Liste des aliments'!$C$6:$W$966,13,FALSE))</f>
        <v xml:space="preserve"> </v>
      </c>
      <c r="Q28" s="12" t="str">
        <f>IF(ISBLANK($B28)," ",VLOOKUP($B28,'Liste des aliments'!$C$6:$W$966,14,FALSE))</f>
        <v xml:space="preserve"> </v>
      </c>
      <c r="R28" s="12" t="str">
        <f>IF(ISBLANK($B28)," ",VLOOKUP($B28,'Liste des aliments'!$C$6:$W$966,15,FALSE))</f>
        <v xml:space="preserve"> </v>
      </c>
      <c r="S28" s="12" t="str">
        <f>IF(ISBLANK($B28)," ",VLOOKUP($B28,'Liste des aliments'!$C$6:$W$966,16,FALSE))</f>
        <v xml:space="preserve"> </v>
      </c>
      <c r="T28" s="12" t="str">
        <f>IF(ISBLANK($B28)," ",VLOOKUP($B28,'Liste des aliments'!$C$6:$W$966,17,FALSE))</f>
        <v xml:space="preserve"> </v>
      </c>
      <c r="U28" s="12" t="str">
        <f>IF(ISBLANK($B28)," ",VLOOKUP($B28,'Liste des aliments'!$C$6:$W$966,18,FALSE))</f>
        <v xml:space="preserve"> </v>
      </c>
      <c r="V28" s="12" t="str">
        <f>IF(ISBLANK($B28)," ",VLOOKUP($B28,'Liste des aliments'!$C$6:$W$966,20,FALSE))</f>
        <v xml:space="preserve"> </v>
      </c>
      <c r="W28" s="107"/>
      <c r="AC28" s="478" t="s">
        <v>298</v>
      </c>
      <c r="AD28" s="479" t="s">
        <v>297</v>
      </c>
      <c r="AE28" s="479" t="s">
        <v>309</v>
      </c>
      <c r="AF28" s="479" t="s">
        <v>43</v>
      </c>
      <c r="AG28" s="479" t="s">
        <v>47</v>
      </c>
      <c r="AH28" s="479" t="s">
        <v>44</v>
      </c>
      <c r="AI28" s="479" t="s">
        <v>217</v>
      </c>
      <c r="AJ28" s="479" t="s">
        <v>51</v>
      </c>
      <c r="AK28" s="479" t="s">
        <v>211</v>
      </c>
      <c r="AL28" s="411"/>
    </row>
    <row r="29" spans="1:41">
      <c r="A29" s="425"/>
      <c r="B29" s="137"/>
      <c r="C29" s="89" t="str">
        <f>IF(ISBLANK(B29),"",INDEX('Liste des aliments'!$B$6:$B$966,MATCH(B29,'Liste des aliments'!$C$6:$C$966,0)))</f>
        <v/>
      </c>
      <c r="D29" s="138"/>
      <c r="E29" s="139"/>
      <c r="F29" s="13" t="str">
        <f>IF(ISBLANK($B29)," ",VLOOKUP($B29,'Liste des aliments'!$C$6:$W$966,2,FALSE))</f>
        <v xml:space="preserve"> </v>
      </c>
      <c r="G29" s="14" t="str">
        <f t="shared" si="2"/>
        <v xml:space="preserve"> </v>
      </c>
      <c r="H29" s="12" t="str">
        <f>IF(ISBLANK($B29)," ",VLOOKUP($B29,'Liste des aliments'!$C$6:$W$966,4,FALSE))</f>
        <v xml:space="preserve"> </v>
      </c>
      <c r="I29" s="12" t="str">
        <f>IF(ISBLANK($B29)," ",VLOOKUP($B29,'Liste des aliments'!$C$6:$W$966,5,FALSE))</f>
        <v xml:space="preserve"> </v>
      </c>
      <c r="J29" s="12" t="str">
        <f>IF(ISBLANK($B29)," ",VLOOKUP($B29,'Liste des aliments'!$C$6:$W$966,6,FALSE))</f>
        <v xml:space="preserve"> </v>
      </c>
      <c r="K29" s="14" t="str">
        <f>IF(ISBLANK($B29)," ",VLOOKUP($B29,'Liste des aliments'!$C$6:$W$966,8,FALSE))</f>
        <v xml:space="preserve"> </v>
      </c>
      <c r="L29" s="12" t="str">
        <f>IF(ISBLANK($B29)," ",VLOOKUP($B29,'Liste des aliments'!$C$6:$W$966,9,FALSE))</f>
        <v xml:space="preserve"> </v>
      </c>
      <c r="M29" s="12" t="str">
        <f>IF(ISBLANK($B29)," ",VLOOKUP($B29,'Liste des aliments'!$C$6:$W$966,10,FALSE))</f>
        <v xml:space="preserve"> </v>
      </c>
      <c r="N29" s="12" t="str">
        <f>IF(ISBLANK($B29)," ",VLOOKUP($B29,'Liste des aliments'!$C$6:$W$966,11,FALSE))</f>
        <v xml:space="preserve"> </v>
      </c>
      <c r="O29" s="13" t="str">
        <f>IF(ISBLANK($B29)," ",VLOOKUP($B29,'Liste des aliments'!$C$6:$W$966,12,FALSE))</f>
        <v xml:space="preserve"> </v>
      </c>
      <c r="P29" s="13" t="str">
        <f>IF(ISBLANK($B29)," ",VLOOKUP($B29,'Liste des aliments'!$C$6:$W$966,13,FALSE))</f>
        <v xml:space="preserve"> </v>
      </c>
      <c r="Q29" s="12" t="str">
        <f>IF(ISBLANK($B29)," ",VLOOKUP($B29,'Liste des aliments'!$C$6:$W$966,14,FALSE))</f>
        <v xml:space="preserve"> </v>
      </c>
      <c r="R29" s="12" t="str">
        <f>IF(ISBLANK($B29)," ",VLOOKUP($B29,'Liste des aliments'!$C$6:$W$966,15,FALSE))</f>
        <v xml:space="preserve"> </v>
      </c>
      <c r="S29" s="12" t="str">
        <f>IF(ISBLANK($B29)," ",VLOOKUP($B29,'Liste des aliments'!$C$6:$W$966,16,FALSE))</f>
        <v xml:space="preserve"> </v>
      </c>
      <c r="T29" s="12" t="str">
        <f>IF(ISBLANK($B29)," ",VLOOKUP($B29,'Liste des aliments'!$C$6:$W$966,17,FALSE))</f>
        <v xml:space="preserve"> </v>
      </c>
      <c r="U29" s="12" t="str">
        <f>IF(ISBLANK($B29)," ",VLOOKUP($B29,'Liste des aliments'!$C$6:$W$966,18,FALSE))</f>
        <v xml:space="preserve"> </v>
      </c>
      <c r="V29" s="12" t="str">
        <f>IF(ISBLANK($B29)," ",VLOOKUP($B29,'Liste des aliments'!$C$6:$W$966,20,FALSE))</f>
        <v xml:space="preserve"> </v>
      </c>
      <c r="W29" s="107"/>
      <c r="AC29" s="478"/>
      <c r="AD29" s="479" t="s">
        <v>310</v>
      </c>
      <c r="AE29" s="480">
        <v>3.0857142857142863</v>
      </c>
      <c r="AF29" s="480">
        <v>-2258.985850566617</v>
      </c>
      <c r="AG29" s="480">
        <v>-2.2171777962737642</v>
      </c>
      <c r="AH29" s="480">
        <v>68.468852039183304</v>
      </c>
      <c r="AI29" s="480">
        <v>135.06255201997567</v>
      </c>
      <c r="AJ29" s="480">
        <v>7.9322619886036208</v>
      </c>
      <c r="AK29" s="480">
        <v>2.366240328593884</v>
      </c>
      <c r="AL29" s="478"/>
      <c r="AM29" s="456"/>
      <c r="AN29" s="759"/>
    </row>
    <row r="30" spans="1:41">
      <c r="A30" s="432"/>
      <c r="B30" s="137"/>
      <c r="C30" s="89" t="str">
        <f>IF(ISBLANK(B30),"",INDEX('Liste des aliments'!$B$6:$B$966,MATCH(B30,'Liste des aliments'!$C$6:$C$966,0)))</f>
        <v/>
      </c>
      <c r="D30" s="138"/>
      <c r="E30" s="139"/>
      <c r="F30" s="13" t="str">
        <f>IF(ISBLANK($B30)," ",VLOOKUP($B30,'Liste des aliments'!$C$6:$W$966,2,FALSE))</f>
        <v xml:space="preserve"> </v>
      </c>
      <c r="G30" s="14" t="str">
        <f t="shared" si="2"/>
        <v xml:space="preserve"> </v>
      </c>
      <c r="H30" s="12" t="str">
        <f>IF(ISBLANK($B30)," ",VLOOKUP($B30,'Liste des aliments'!$C$6:$W$966,4,FALSE))</f>
        <v xml:space="preserve"> </v>
      </c>
      <c r="I30" s="12" t="str">
        <f>IF(ISBLANK($B30)," ",VLOOKUP($B30,'Liste des aliments'!$C$6:$W$966,5,FALSE))</f>
        <v xml:space="preserve"> </v>
      </c>
      <c r="J30" s="12" t="str">
        <f>IF(ISBLANK($B30)," ",VLOOKUP($B30,'Liste des aliments'!$C$6:$W$966,6,FALSE))</f>
        <v xml:space="preserve"> </v>
      </c>
      <c r="K30" s="14" t="str">
        <f>IF(ISBLANK($B30)," ",VLOOKUP($B30,'Liste des aliments'!$C$6:$W$966,8,FALSE))</f>
        <v xml:space="preserve"> </v>
      </c>
      <c r="L30" s="12" t="str">
        <f>IF(ISBLANK($B30)," ",VLOOKUP($B30,'Liste des aliments'!$C$6:$W$966,9,FALSE))</f>
        <v xml:space="preserve"> </v>
      </c>
      <c r="M30" s="12" t="str">
        <f>IF(ISBLANK($B30)," ",VLOOKUP($B30,'Liste des aliments'!$C$6:$W$966,10,FALSE))</f>
        <v xml:space="preserve"> </v>
      </c>
      <c r="N30" s="12" t="str">
        <f>IF(ISBLANK($B30)," ",VLOOKUP($B30,'Liste des aliments'!$C$6:$W$966,11,FALSE))</f>
        <v xml:space="preserve"> </v>
      </c>
      <c r="O30" s="13" t="str">
        <f>IF(ISBLANK($B30)," ",VLOOKUP($B30,'Liste des aliments'!$C$6:$W$966,12,FALSE))</f>
        <v xml:space="preserve"> </v>
      </c>
      <c r="P30" s="13" t="str">
        <f>IF(ISBLANK($B30)," ",VLOOKUP($B30,'Liste des aliments'!$C$6:$W$966,13,FALSE))</f>
        <v xml:space="preserve"> </v>
      </c>
      <c r="Q30" s="12" t="str">
        <f>IF(ISBLANK($B30)," ",VLOOKUP($B30,'Liste des aliments'!$C$6:$W$966,14,FALSE))</f>
        <v xml:space="preserve"> </v>
      </c>
      <c r="R30" s="12" t="str">
        <f>IF(ISBLANK($B30)," ",VLOOKUP($B30,'Liste des aliments'!$C$6:$W$966,15,FALSE))</f>
        <v xml:space="preserve"> </v>
      </c>
      <c r="S30" s="12" t="str">
        <f>IF(ISBLANK($B30)," ",VLOOKUP($B30,'Liste des aliments'!$C$6:$W$966,16,FALSE))</f>
        <v xml:space="preserve"> </v>
      </c>
      <c r="T30" s="12" t="str">
        <f>IF(ISBLANK($B30)," ",VLOOKUP($B30,'Liste des aliments'!$C$6:$W$966,17,FALSE))</f>
        <v xml:space="preserve"> </v>
      </c>
      <c r="U30" s="12" t="str">
        <f>IF(ISBLANK($B30)," ",VLOOKUP($B30,'Liste des aliments'!$C$6:$W$966,18,FALSE))</f>
        <v xml:space="preserve"> </v>
      </c>
      <c r="V30" s="12" t="str">
        <f>IF(ISBLANK($B30)," ",VLOOKUP($B30,'Liste des aliments'!$C$6:$W$966,20,FALSE))</f>
        <v xml:space="preserve"> </v>
      </c>
      <c r="W30" s="107"/>
      <c r="AC30" s="478"/>
      <c r="AD30" s="479" t="s">
        <v>311</v>
      </c>
      <c r="AE30" s="480">
        <v>1.2114285714285708E-2</v>
      </c>
      <c r="AF30" s="480">
        <v>14.073052051987965</v>
      </c>
      <c r="AG30" s="480">
        <v>1.2965917579017008E-2</v>
      </c>
      <c r="AH30" s="480">
        <v>0.42184092024670783</v>
      </c>
      <c r="AI30" s="480">
        <v>0.66002347568132846</v>
      </c>
      <c r="AJ30" s="480">
        <v>1.8277205113430211E-2</v>
      </c>
      <c r="AK30" s="480">
        <v>3.2733308051830355E-2</v>
      </c>
      <c r="AL30" s="478"/>
      <c r="AM30" s="456"/>
      <c r="AN30" s="759"/>
    </row>
    <row r="31" spans="1:41">
      <c r="A31" s="432"/>
      <c r="B31" s="137"/>
      <c r="C31" s="89" t="str">
        <f>IF(ISBLANK(B31),"",INDEX('Liste des aliments'!$B$6:$B$966,MATCH(B31,'Liste des aliments'!$C$6:$C$966,0)))</f>
        <v/>
      </c>
      <c r="D31" s="138"/>
      <c r="E31" s="139"/>
      <c r="F31" s="13" t="str">
        <f>IF(ISBLANK($B31)," ",VLOOKUP($B31,'Liste des aliments'!$C$6:$W$966,2,FALSE))</f>
        <v xml:space="preserve"> </v>
      </c>
      <c r="G31" s="14" t="str">
        <f>IF(ISBLANK(B31)," ",(D31*E31/100))</f>
        <v xml:space="preserve"> </v>
      </c>
      <c r="H31" s="12" t="str">
        <f>IF(ISBLANK($B31)," ",VLOOKUP($B31,'Liste des aliments'!$C$6:$W$966,4,FALSE))</f>
        <v xml:space="preserve"> </v>
      </c>
      <c r="I31" s="12" t="str">
        <f>IF(ISBLANK($B31)," ",VLOOKUP($B31,'Liste des aliments'!$C$6:$W$966,5,FALSE))</f>
        <v xml:space="preserve"> </v>
      </c>
      <c r="J31" s="12" t="str">
        <f>IF(ISBLANK($B31)," ",VLOOKUP($B31,'Liste des aliments'!$C$6:$W$966,6,FALSE))</f>
        <v xml:space="preserve"> </v>
      </c>
      <c r="K31" s="14" t="str">
        <f>IF(ISBLANK($B31)," ",VLOOKUP($B31,'Liste des aliments'!$C$6:$W$966,8,FALSE))</f>
        <v xml:space="preserve"> </v>
      </c>
      <c r="L31" s="12" t="str">
        <f>IF(ISBLANK($B31)," ",VLOOKUP($B31,'Liste des aliments'!$C$6:$W$966,9,FALSE))</f>
        <v xml:space="preserve"> </v>
      </c>
      <c r="M31" s="12" t="str">
        <f>IF(ISBLANK($B31)," ",VLOOKUP($B31,'Liste des aliments'!$C$6:$W$966,10,FALSE))</f>
        <v xml:space="preserve"> </v>
      </c>
      <c r="N31" s="12" t="str">
        <f>IF(ISBLANK($B31)," ",VLOOKUP($B31,'Liste des aliments'!$C$6:$W$966,11,FALSE))</f>
        <v xml:space="preserve"> </v>
      </c>
      <c r="O31" s="13" t="str">
        <f>IF(ISBLANK($B31)," ",VLOOKUP($B31,'Liste des aliments'!$C$6:$W$966,12,FALSE))</f>
        <v xml:space="preserve"> </v>
      </c>
      <c r="P31" s="13" t="str">
        <f>IF(ISBLANK($B31)," ",VLOOKUP($B31,'Liste des aliments'!$C$6:$W$966,13,FALSE))</f>
        <v xml:space="preserve"> </v>
      </c>
      <c r="Q31" s="12" t="str">
        <f>IF(ISBLANK($B31)," ",VLOOKUP($B31,'Liste des aliments'!$C$6:$W$966,14,FALSE))</f>
        <v xml:space="preserve"> </v>
      </c>
      <c r="R31" s="12" t="str">
        <f>IF(ISBLANK($B31)," ",VLOOKUP($B31,'Liste des aliments'!$C$6:$W$966,15,FALSE))</f>
        <v xml:space="preserve"> </v>
      </c>
      <c r="S31" s="12" t="str">
        <f>IF(ISBLANK($B31)," ",VLOOKUP($B31,'Liste des aliments'!$C$6:$W$966,16,FALSE))</f>
        <v xml:space="preserve"> </v>
      </c>
      <c r="T31" s="12" t="str">
        <f>IF(ISBLANK($B31)," ",VLOOKUP($B31,'Liste des aliments'!$C$6:$W$966,17,FALSE))</f>
        <v xml:space="preserve"> </v>
      </c>
      <c r="U31" s="12" t="str">
        <f>IF(ISBLANK($B31)," ",VLOOKUP($B31,'Liste des aliments'!$C$6:$W$966,18,FALSE))</f>
        <v xml:space="preserve"> </v>
      </c>
      <c r="V31" s="12" t="str">
        <f>IF(ISBLANK($B31)," ",VLOOKUP($B31,'Liste des aliments'!$C$6:$W$966,20,FALSE))</f>
        <v xml:space="preserve"> </v>
      </c>
      <c r="W31" s="107"/>
      <c r="AC31" s="478"/>
      <c r="AD31" s="479" t="s">
        <v>266</v>
      </c>
      <c r="AE31" s="480"/>
      <c r="AF31" s="480">
        <v>3.4237307125936352</v>
      </c>
      <c r="AG31" s="480">
        <v>3.1880081951469342E-3</v>
      </c>
      <c r="AH31" s="480">
        <v>0.17264709648505014</v>
      </c>
      <c r="AI31" s="480">
        <v>0.17497695114924122</v>
      </c>
      <c r="AJ31" s="480">
        <v>2.9532380434086691E-2</v>
      </c>
      <c r="AK31" s="480">
        <v>1.0449255591070043E-2</v>
      </c>
      <c r="AL31" s="478"/>
      <c r="AM31" s="456"/>
      <c r="AN31" s="759"/>
    </row>
    <row r="32" spans="1:41">
      <c r="A32" s="432"/>
      <c r="B32" s="137"/>
      <c r="C32" s="89" t="str">
        <f>IF(ISBLANK(B32),"",INDEX('Liste des aliments'!$B$6:$B$966,MATCH(B32,'Liste des aliments'!$C$6:$C$966,0)))</f>
        <v/>
      </c>
      <c r="D32" s="138"/>
      <c r="E32" s="139"/>
      <c r="F32" s="13" t="str">
        <f>IF(ISBLANK($B32)," ",VLOOKUP($B32,'Liste des aliments'!$C$6:$W$966,2,FALSE))</f>
        <v xml:space="preserve"> </v>
      </c>
      <c r="G32" s="14" t="str">
        <f>IF(ISBLANK(B32)," ",(D32*E32/100))</f>
        <v xml:space="preserve"> </v>
      </c>
      <c r="H32" s="12" t="str">
        <f>IF(ISBLANK($B32)," ",VLOOKUP($B32,'Liste des aliments'!$C$6:$W$966,4,FALSE))</f>
        <v xml:space="preserve"> </v>
      </c>
      <c r="I32" s="12" t="str">
        <f>IF(ISBLANK($B32)," ",VLOOKUP($B32,'Liste des aliments'!$C$6:$W$966,5,FALSE))</f>
        <v xml:space="preserve"> </v>
      </c>
      <c r="J32" s="12" t="str">
        <f>IF(ISBLANK($B32)," ",VLOOKUP($B32,'Liste des aliments'!$C$6:$W$966,6,FALSE))</f>
        <v xml:space="preserve"> </v>
      </c>
      <c r="K32" s="14" t="str">
        <f>IF(ISBLANK($B32)," ",VLOOKUP($B32,'Liste des aliments'!$C$6:$W$966,8,FALSE))</f>
        <v xml:space="preserve"> </v>
      </c>
      <c r="L32" s="12" t="str">
        <f>IF(ISBLANK($B32)," ",VLOOKUP($B32,'Liste des aliments'!$C$6:$W$966,9,FALSE))</f>
        <v xml:space="preserve"> </v>
      </c>
      <c r="M32" s="12" t="str">
        <f>IF(ISBLANK($B32)," ",VLOOKUP($B32,'Liste des aliments'!$C$6:$W$966,10,FALSE))</f>
        <v xml:space="preserve"> </v>
      </c>
      <c r="N32" s="12" t="str">
        <f>IF(ISBLANK($B32)," ",VLOOKUP($B32,'Liste des aliments'!$C$6:$W$966,11,FALSE))</f>
        <v xml:space="preserve"> </v>
      </c>
      <c r="O32" s="13" t="str">
        <f>IF(ISBLANK($B32)," ",VLOOKUP($B32,'Liste des aliments'!$C$6:$W$966,12,FALSE))</f>
        <v xml:space="preserve"> </v>
      </c>
      <c r="P32" s="13" t="str">
        <f>IF(ISBLANK($B32)," ",VLOOKUP($B32,'Liste des aliments'!$C$6:$W$966,13,FALSE))</f>
        <v xml:space="preserve"> </v>
      </c>
      <c r="Q32" s="12" t="str">
        <f>IF(ISBLANK($B32)," ",VLOOKUP($B32,'Liste des aliments'!$C$6:$W$966,14,FALSE))</f>
        <v xml:space="preserve"> </v>
      </c>
      <c r="R32" s="12" t="str">
        <f>IF(ISBLANK($B32)," ",VLOOKUP($B32,'Liste des aliments'!$C$6:$W$966,15,FALSE))</f>
        <v xml:space="preserve"> </v>
      </c>
      <c r="S32" s="12" t="str">
        <f>IF(ISBLANK($B32)," ",VLOOKUP($B32,'Liste des aliments'!$C$6:$W$966,16,FALSE))</f>
        <v xml:space="preserve"> </v>
      </c>
      <c r="T32" s="12" t="str">
        <f>IF(ISBLANK($B32)," ",VLOOKUP($B32,'Liste des aliments'!$C$6:$W$966,17,FALSE))</f>
        <v xml:space="preserve"> </v>
      </c>
      <c r="U32" s="12" t="str">
        <f>IF(ISBLANK($B32)," ",VLOOKUP($B32,'Liste des aliments'!$C$6:$W$966,18,FALSE))</f>
        <v xml:space="preserve"> </v>
      </c>
      <c r="V32" s="12" t="str">
        <f>IF(ISBLANK($B32)," ",VLOOKUP($B32,'Liste des aliments'!$C$6:$W$966,20,FALSE))</f>
        <v xml:space="preserve"> </v>
      </c>
      <c r="W32" s="107"/>
      <c r="AC32" s="478"/>
      <c r="AD32" s="479"/>
      <c r="AE32" s="479"/>
      <c r="AF32" s="479"/>
      <c r="AG32" s="479"/>
      <c r="AH32" s="479"/>
      <c r="AI32" s="479"/>
      <c r="AJ32" s="479"/>
      <c r="AK32" s="479"/>
      <c r="AL32" s="478"/>
      <c r="AM32" s="456"/>
      <c r="AN32" s="759"/>
    </row>
    <row r="33" spans="1:42" ht="14.4" thickBot="1">
      <c r="A33" s="432"/>
      <c r="B33" s="142"/>
      <c r="C33" s="15" t="str">
        <f>IF(ISBLANK(B33),"",INDEX('Liste des aliments'!$B$6:$B$966,MATCH(B33,'Liste des aliments'!$C$6:$C$966,0)))</f>
        <v/>
      </c>
      <c r="D33" s="143"/>
      <c r="E33" s="144"/>
      <c r="F33" s="3" t="str">
        <f>IF(ISBLANK($B33)," ",VLOOKUP($B33,'Liste des aliments'!$C$6:$W$966,2,FALSE))</f>
        <v xml:space="preserve"> </v>
      </c>
      <c r="G33" s="10" t="str">
        <f t="shared" si="2"/>
        <v xml:space="preserve"> </v>
      </c>
      <c r="H33" s="4" t="str">
        <f>IF(ISBLANK($B33)," ",VLOOKUP($B33,'Liste des aliments'!$C$6:$W$966,4,FALSE))</f>
        <v xml:space="preserve"> </v>
      </c>
      <c r="I33" s="4" t="str">
        <f>IF(ISBLANK($B33)," ",VLOOKUP($B33,'Liste des aliments'!$C$6:$W$966,5,FALSE))</f>
        <v xml:space="preserve"> </v>
      </c>
      <c r="J33" s="4" t="str">
        <f>IF(ISBLANK($B33)," ",VLOOKUP($B33,'Liste des aliments'!$C$6:$W$966,6,FALSE))</f>
        <v xml:space="preserve"> </v>
      </c>
      <c r="K33" s="10" t="str">
        <f>IF(ISBLANK($B33)," ",VLOOKUP($B33,'Liste des aliments'!$C$6:$W$966,8,FALSE))</f>
        <v xml:space="preserve"> </v>
      </c>
      <c r="L33" s="4" t="str">
        <f>IF(ISBLANK($B33)," ",VLOOKUP($B33,'Liste des aliments'!$C$6:$W$966,9,FALSE))</f>
        <v xml:space="preserve"> </v>
      </c>
      <c r="M33" s="4" t="str">
        <f>IF(ISBLANK($B33)," ",VLOOKUP($B33,'Liste des aliments'!$C$6:$W$966,10,FALSE))</f>
        <v xml:space="preserve"> </v>
      </c>
      <c r="N33" s="4" t="str">
        <f>IF(ISBLANK($B33)," ",VLOOKUP($B33,'Liste des aliments'!$C$6:$W$966,11,FALSE))</f>
        <v xml:space="preserve"> </v>
      </c>
      <c r="O33" s="3" t="str">
        <f>IF(ISBLANK($B33)," ",VLOOKUP($B33,'Liste des aliments'!$C$6:$W$966,12,FALSE))</f>
        <v xml:space="preserve"> </v>
      </c>
      <c r="P33" s="3" t="str">
        <f>IF(ISBLANK($B33)," ",VLOOKUP($B33,'Liste des aliments'!$C$6:$W$966,13,FALSE))</f>
        <v xml:space="preserve"> </v>
      </c>
      <c r="Q33" s="4" t="str">
        <f>IF(ISBLANK($B33)," ",VLOOKUP($B33,'Liste des aliments'!$C$6:$W$966,14,FALSE))</f>
        <v xml:space="preserve"> </v>
      </c>
      <c r="R33" s="4" t="str">
        <f>IF(ISBLANK($B33)," ",VLOOKUP($B33,'Liste des aliments'!$C$6:$W$966,15,FALSE))</f>
        <v xml:space="preserve"> </v>
      </c>
      <c r="S33" s="4" t="str">
        <f>IF(ISBLANK($B33)," ",VLOOKUP($B33,'Liste des aliments'!$C$6:$W$966,16,FALSE))</f>
        <v xml:space="preserve"> </v>
      </c>
      <c r="T33" s="4" t="str">
        <f>IF(ISBLANK($B33)," ",VLOOKUP($B33,'Liste des aliments'!$C$6:$W$966,17,FALSE))</f>
        <v xml:space="preserve"> </v>
      </c>
      <c r="U33" s="4" t="str">
        <f>IF(ISBLANK($B33)," ",VLOOKUP($B33,'Liste des aliments'!$C$6:$W$966,18,FALSE))</f>
        <v xml:space="preserve"> </v>
      </c>
      <c r="V33" s="4" t="str">
        <f>IF(ISBLANK($B33)," ",VLOOKUP($B33,'Liste des aliments'!$C$6:$W$966,20,FALSE))</f>
        <v xml:space="preserve"> </v>
      </c>
      <c r="W33" s="108"/>
      <c r="AC33" s="478" t="s">
        <v>301</v>
      </c>
      <c r="AD33" s="479" t="s">
        <v>291</v>
      </c>
      <c r="AE33" s="479" t="s">
        <v>309</v>
      </c>
      <c r="AF33" s="479" t="s">
        <v>43</v>
      </c>
      <c r="AG33" s="479" t="s">
        <v>47</v>
      </c>
      <c r="AH33" s="479" t="s">
        <v>44</v>
      </c>
      <c r="AI33" s="479" t="s">
        <v>217</v>
      </c>
      <c r="AJ33" s="479"/>
      <c r="AK33" s="479"/>
      <c r="AL33" s="478"/>
      <c r="AM33" s="456"/>
      <c r="AN33" s="759"/>
    </row>
    <row r="34" spans="1:42">
      <c r="A34" s="129"/>
      <c r="G34" s="109" t="str">
        <f t="shared" ref="G34" si="4">IF($A34&gt;0,(D34*E34/100)," ")</f>
        <v xml:space="preserve"> </v>
      </c>
      <c r="AC34" s="478"/>
      <c r="AD34" s="479" t="s">
        <v>310</v>
      </c>
      <c r="AE34" s="480">
        <v>3.1078673351330508</v>
      </c>
      <c r="AF34" s="480">
        <v>-2104.9863416410881</v>
      </c>
      <c r="AG34" s="480">
        <v>-0.94119361048962302</v>
      </c>
      <c r="AH34" s="480">
        <v>36.059238253811088</v>
      </c>
      <c r="AI34" s="480">
        <v>-35.391318486914258</v>
      </c>
      <c r="AJ34" s="479"/>
      <c r="AK34" s="479"/>
      <c r="AL34" s="478"/>
      <c r="AM34" s="456"/>
      <c r="AN34" s="759"/>
    </row>
    <row r="35" spans="1:42" ht="16.2" thickBot="1">
      <c r="B35" s="11" t="s">
        <v>195</v>
      </c>
      <c r="C35" s="1"/>
      <c r="D35" s="1"/>
      <c r="E35" s="1"/>
      <c r="F35" s="1"/>
      <c r="G35" s="1"/>
      <c r="H35" s="1"/>
      <c r="I35" s="1"/>
      <c r="J35" s="1"/>
      <c r="K35" s="1"/>
      <c r="L35" s="1"/>
      <c r="M35" s="1"/>
      <c r="N35" s="1"/>
      <c r="O35" s="1"/>
      <c r="P35" s="1"/>
      <c r="Q35" s="1"/>
      <c r="R35" s="776" t="s">
        <v>196</v>
      </c>
      <c r="S35" s="776"/>
      <c r="T35" s="776"/>
      <c r="U35" s="776"/>
      <c r="V35" s="43"/>
      <c r="W35" s="1"/>
      <c r="AC35" s="478"/>
      <c r="AD35" s="479" t="s">
        <v>311</v>
      </c>
      <c r="AE35" s="480">
        <v>1.0877747782491318E-2</v>
      </c>
      <c r="AF35" s="480">
        <v>12.99545762006348</v>
      </c>
      <c r="AG35" s="480">
        <v>1.0499817888547792E-2</v>
      </c>
      <c r="AH35" s="480">
        <v>0.50344190644674558</v>
      </c>
      <c r="AI35" s="480">
        <v>1.0909984910765391</v>
      </c>
      <c r="AJ35" s="479"/>
      <c r="AK35" s="479"/>
      <c r="AL35" s="481"/>
      <c r="AM35" s="457"/>
    </row>
    <row r="36" spans="1:42" ht="14.4" thickBot="1">
      <c r="A36" s="145"/>
      <c r="B36" s="1"/>
      <c r="C36" s="1"/>
      <c r="D36" s="59" t="s">
        <v>188</v>
      </c>
      <c r="E36" s="60" t="s">
        <v>197</v>
      </c>
      <c r="F36" s="60"/>
      <c r="G36" s="60" t="s">
        <v>191</v>
      </c>
      <c r="H36" s="60" t="s">
        <v>43</v>
      </c>
      <c r="I36" s="60" t="s">
        <v>44</v>
      </c>
      <c r="J36" s="60" t="s">
        <v>45</v>
      </c>
      <c r="K36" s="60" t="s">
        <v>47</v>
      </c>
      <c r="L36" s="60" t="s">
        <v>48</v>
      </c>
      <c r="M36" s="60" t="s">
        <v>49</v>
      </c>
      <c r="N36" s="60" t="s">
        <v>50</v>
      </c>
      <c r="O36" s="60" t="s">
        <v>51</v>
      </c>
      <c r="P36" s="60" t="s">
        <v>52</v>
      </c>
      <c r="Q36" s="60" t="s">
        <v>192</v>
      </c>
      <c r="R36" s="61" t="s">
        <v>54</v>
      </c>
      <c r="S36" s="61" t="s">
        <v>198</v>
      </c>
      <c r="T36" s="61" t="s">
        <v>56</v>
      </c>
      <c r="U36" s="61" t="s">
        <v>57</v>
      </c>
      <c r="V36" s="61" t="s">
        <v>59</v>
      </c>
      <c r="W36" s="62" t="s">
        <v>194</v>
      </c>
      <c r="X36" s="113"/>
      <c r="AC36" s="478"/>
      <c r="AD36" s="479" t="s">
        <v>266</v>
      </c>
      <c r="AE36" s="480"/>
      <c r="AF36" s="480">
        <v>3.3992006608044147</v>
      </c>
      <c r="AG36" s="480">
        <v>2.7108070138925039E-3</v>
      </c>
      <c r="AH36" s="480">
        <v>0.17824743743170834</v>
      </c>
      <c r="AI36" s="480">
        <v>0.21935382954368085</v>
      </c>
      <c r="AJ36" s="479"/>
      <c r="AK36" s="479"/>
      <c r="AL36" s="478"/>
      <c r="AM36" s="456"/>
      <c r="AN36" s="759"/>
    </row>
    <row r="37" spans="1:42" ht="18" customHeight="1">
      <c r="B37" s="93" t="s">
        <v>199</v>
      </c>
      <c r="C37" s="94"/>
      <c r="D37" s="63">
        <f>SUM(D18:D33)</f>
        <v>0</v>
      </c>
      <c r="E37" s="248" t="e">
        <f>G37/D37*100</f>
        <v>#DIV/0!</v>
      </c>
      <c r="F37" s="16"/>
      <c r="G37" s="58">
        <f>SUM(G18:G33)</f>
        <v>0</v>
      </c>
      <c r="H37" s="57">
        <f>H91</f>
        <v>0</v>
      </c>
      <c r="I37" s="57">
        <f>I91</f>
        <v>0</v>
      </c>
      <c r="J37" s="57">
        <f t="shared" ref="J37:W37" si="5">J91</f>
        <v>0</v>
      </c>
      <c r="K37" s="56">
        <f t="shared" si="5"/>
        <v>0</v>
      </c>
      <c r="L37" s="57">
        <f t="shared" si="5"/>
        <v>0</v>
      </c>
      <c r="M37" s="57">
        <f t="shared" si="5"/>
        <v>0</v>
      </c>
      <c r="N37" s="57">
        <f t="shared" si="5"/>
        <v>0</v>
      </c>
      <c r="O37" s="57">
        <f t="shared" si="5"/>
        <v>0</v>
      </c>
      <c r="P37" s="57">
        <f t="shared" si="5"/>
        <v>0</v>
      </c>
      <c r="Q37" s="57">
        <f t="shared" si="5"/>
        <v>0</v>
      </c>
      <c r="R37" s="76">
        <f t="shared" si="5"/>
        <v>0</v>
      </c>
      <c r="S37" s="76">
        <f t="shared" si="5"/>
        <v>0</v>
      </c>
      <c r="T37" s="76">
        <f t="shared" si="5"/>
        <v>0</v>
      </c>
      <c r="U37" s="76">
        <f t="shared" si="5"/>
        <v>0</v>
      </c>
      <c r="V37" s="76">
        <f t="shared" si="5"/>
        <v>0</v>
      </c>
      <c r="W37" s="249">
        <f t="shared" si="5"/>
        <v>0</v>
      </c>
      <c r="X37" s="113"/>
      <c r="AC37" s="478"/>
      <c r="AD37" s="479"/>
      <c r="AE37" s="479"/>
      <c r="AF37" s="479"/>
      <c r="AG37" s="479"/>
      <c r="AH37" s="479"/>
      <c r="AI37" s="479"/>
      <c r="AJ37" s="479"/>
      <c r="AK37" s="479"/>
      <c r="AL37" s="478"/>
      <c r="AM37" s="456"/>
      <c r="AN37" s="759"/>
    </row>
    <row r="38" spans="1:42" ht="18" customHeight="1">
      <c r="B38" s="95" t="s">
        <v>200</v>
      </c>
      <c r="C38" s="96"/>
      <c r="D38" s="44"/>
      <c r="E38" s="44"/>
      <c r="F38" s="44"/>
      <c r="G38" s="56">
        <v>1</v>
      </c>
      <c r="H38" s="57" t="e">
        <f t="shared" ref="H38:W38" si="6">H37/$G$37</f>
        <v>#DIV/0!</v>
      </c>
      <c r="I38" s="57" t="e">
        <f t="shared" si="6"/>
        <v>#DIV/0!</v>
      </c>
      <c r="J38" s="57" t="e">
        <f t="shared" si="6"/>
        <v>#DIV/0!</v>
      </c>
      <c r="K38" s="58" t="e">
        <f t="shared" si="6"/>
        <v>#DIV/0!</v>
      </c>
      <c r="L38" s="57" t="e">
        <f t="shared" si="6"/>
        <v>#DIV/0!</v>
      </c>
      <c r="M38" s="57" t="e">
        <f t="shared" si="6"/>
        <v>#DIV/0!</v>
      </c>
      <c r="N38" s="57" t="e">
        <f t="shared" si="6"/>
        <v>#DIV/0!</v>
      </c>
      <c r="O38" s="56" t="e">
        <f t="shared" si="6"/>
        <v>#DIV/0!</v>
      </c>
      <c r="P38" s="56" t="e">
        <f t="shared" si="6"/>
        <v>#DIV/0!</v>
      </c>
      <c r="Q38" s="57" t="e">
        <f t="shared" si="6"/>
        <v>#DIV/0!</v>
      </c>
      <c r="R38" s="75" t="e">
        <f t="shared" si="6"/>
        <v>#DIV/0!</v>
      </c>
      <c r="S38" s="75" t="e">
        <f t="shared" si="6"/>
        <v>#DIV/0!</v>
      </c>
      <c r="T38" s="75" t="e">
        <f t="shared" si="6"/>
        <v>#DIV/0!</v>
      </c>
      <c r="U38" s="75" t="e">
        <f t="shared" si="6"/>
        <v>#DIV/0!</v>
      </c>
      <c r="V38" s="75" t="e">
        <f t="shared" si="6"/>
        <v>#DIV/0!</v>
      </c>
      <c r="W38" s="453" t="e">
        <f t="shared" si="6"/>
        <v>#DIV/0!</v>
      </c>
      <c r="AC38" s="478" t="s">
        <v>303</v>
      </c>
      <c r="AD38" s="479" t="s">
        <v>296</v>
      </c>
      <c r="AE38" s="479" t="s">
        <v>309</v>
      </c>
      <c r="AF38" s="479" t="s">
        <v>43</v>
      </c>
      <c r="AG38" s="479" t="s">
        <v>47</v>
      </c>
      <c r="AH38" s="479" t="s">
        <v>44</v>
      </c>
      <c r="AI38" s="479" t="s">
        <v>217</v>
      </c>
      <c r="AJ38" s="479"/>
      <c r="AK38" s="479"/>
      <c r="AL38" s="481"/>
      <c r="AM38" s="458"/>
      <c r="AN38" s="760"/>
      <c r="AO38" s="459"/>
      <c r="AP38" s="161"/>
    </row>
    <row r="39" spans="1:42" ht="18" customHeight="1" thickBot="1">
      <c r="B39" s="97" t="s">
        <v>260</v>
      </c>
      <c r="C39" s="98"/>
      <c r="D39" s="17"/>
      <c r="E39" s="17"/>
      <c r="F39" s="17"/>
      <c r="G39" s="454">
        <f>G37/H10</f>
        <v>0</v>
      </c>
      <c r="H39" s="454">
        <f t="shared" ref="H39:I39" si="7">H37/I10</f>
        <v>0</v>
      </c>
      <c r="I39" s="454">
        <f t="shared" si="7"/>
        <v>0</v>
      </c>
      <c r="J39" s="455"/>
      <c r="K39" s="454">
        <f>K37/N10</f>
        <v>0</v>
      </c>
      <c r="L39" s="454">
        <f t="shared" ref="L39:M39" si="8">L37/O10</f>
        <v>0</v>
      </c>
      <c r="M39" s="454">
        <f t="shared" si="8"/>
        <v>0</v>
      </c>
      <c r="N39" s="455"/>
      <c r="O39" s="454">
        <f>O37/L10</f>
        <v>0</v>
      </c>
      <c r="P39" s="454">
        <f>P37/M10</f>
        <v>0</v>
      </c>
      <c r="Q39" s="17"/>
      <c r="R39" s="17"/>
      <c r="S39" s="17"/>
      <c r="T39" s="17"/>
      <c r="U39" s="17"/>
      <c r="V39" s="17"/>
      <c r="W39" s="74"/>
      <c r="AC39" s="478"/>
      <c r="AD39" s="479" t="s">
        <v>310</v>
      </c>
      <c r="AE39" s="480">
        <v>2.9684689236988353</v>
      </c>
      <c r="AF39" s="480">
        <v>-1106.4910988648271</v>
      </c>
      <c r="AG39" s="480">
        <v>-0.68262945374203232</v>
      </c>
      <c r="AH39" s="480">
        <v>-31.935647713131971</v>
      </c>
      <c r="AI39" s="480">
        <v>3.4023414683697979</v>
      </c>
      <c r="AJ39" s="479"/>
      <c r="AK39" s="479"/>
      <c r="AL39" s="481"/>
      <c r="AM39" s="458"/>
      <c r="AN39" s="760"/>
      <c r="AO39" s="459"/>
      <c r="AP39" s="161"/>
    </row>
    <row r="40" spans="1:42">
      <c r="N40" s="150"/>
      <c r="O40" s="150"/>
      <c r="Q40" s="148"/>
      <c r="R40" s="149"/>
      <c r="S40" s="149"/>
      <c r="T40" s="149"/>
      <c r="U40" s="149"/>
      <c r="V40" s="149"/>
      <c r="AC40" s="478"/>
      <c r="AD40" s="479" t="s">
        <v>311</v>
      </c>
      <c r="AE40" s="480">
        <v>1.0330469934310258E-2</v>
      </c>
      <c r="AF40" s="480">
        <v>10.880742565456998</v>
      </c>
      <c r="AG40" s="480">
        <v>1.0274874020004425E-2</v>
      </c>
      <c r="AH40" s="480">
        <v>0.49008014105405973</v>
      </c>
      <c r="AI40" s="480">
        <v>0.91220756133928782</v>
      </c>
      <c r="AJ40" s="479"/>
      <c r="AK40" s="479"/>
      <c r="AL40" s="481"/>
      <c r="AM40" s="458"/>
      <c r="AN40" s="760"/>
      <c r="AO40" s="459"/>
      <c r="AP40" s="161"/>
    </row>
    <row r="41" spans="1:42">
      <c r="Q41" s="151" t="s">
        <v>203</v>
      </c>
      <c r="R41" s="152">
        <v>150</v>
      </c>
      <c r="S41" s="152">
        <v>155</v>
      </c>
      <c r="T41" s="152">
        <v>300</v>
      </c>
      <c r="U41" s="153">
        <v>180</v>
      </c>
      <c r="V41" s="154"/>
      <c r="AC41" s="478"/>
      <c r="AD41" s="479" t="s">
        <v>266</v>
      </c>
      <c r="AE41" s="480"/>
      <c r="AF41" s="480">
        <v>2.8840757294867601</v>
      </c>
      <c r="AG41" s="480">
        <v>2.454083057912706E-3</v>
      </c>
      <c r="AH41" s="480">
        <v>0.24737020160427228</v>
      </c>
      <c r="AI41" s="480">
        <v>0.2304931631590596</v>
      </c>
      <c r="AJ41" s="479"/>
      <c r="AK41" s="479"/>
      <c r="AL41" s="481"/>
      <c r="AM41" s="458"/>
      <c r="AN41" s="760"/>
      <c r="AO41" s="459"/>
      <c r="AP41" s="161"/>
    </row>
    <row r="42" spans="1:42">
      <c r="B42" s="774" t="s">
        <v>205</v>
      </c>
      <c r="C42" s="774"/>
      <c r="K42" s="303"/>
      <c r="Q42" s="157" t="s">
        <v>204</v>
      </c>
      <c r="R42" s="158">
        <v>300</v>
      </c>
      <c r="S42" s="158"/>
      <c r="T42" s="158"/>
      <c r="U42" s="159"/>
      <c r="V42" s="160">
        <v>60</v>
      </c>
      <c r="AC42" s="478"/>
      <c r="AD42" s="479"/>
      <c r="AE42" s="479"/>
      <c r="AF42" s="479"/>
      <c r="AG42" s="479"/>
      <c r="AH42" s="479"/>
      <c r="AI42" s="479"/>
      <c r="AJ42" s="479"/>
      <c r="AK42" s="479"/>
      <c r="AL42" s="481"/>
      <c r="AM42" s="458"/>
      <c r="AN42" s="760"/>
      <c r="AO42" s="459"/>
      <c r="AP42" s="161"/>
    </row>
    <row r="43" spans="1:42" ht="14.4">
      <c r="B43" s="274" t="s">
        <v>206</v>
      </c>
      <c r="C43" s="275"/>
      <c r="AC43" s="478" t="s">
        <v>306</v>
      </c>
      <c r="AD43" s="479" t="s">
        <v>293</v>
      </c>
      <c r="AE43" s="482" t="s">
        <v>312</v>
      </c>
      <c r="AF43" s="479" t="s">
        <v>313</v>
      </c>
      <c r="AG43" s="479"/>
      <c r="AH43" s="479"/>
      <c r="AI43" s="479"/>
      <c r="AJ43" s="479"/>
      <c r="AK43" s="479"/>
      <c r="AL43" s="481"/>
      <c r="AM43" s="458"/>
      <c r="AN43" s="760"/>
      <c r="AO43" s="459"/>
      <c r="AP43" s="161"/>
    </row>
    <row r="44" spans="1:42" ht="14.4">
      <c r="B44" s="274" t="s">
        <v>207</v>
      </c>
      <c r="C44" s="276"/>
      <c r="AC44" s="481"/>
      <c r="AD44" s="479" t="s">
        <v>310</v>
      </c>
      <c r="AE44" s="483">
        <v>2.82753916119252</v>
      </c>
      <c r="AF44" s="761">
        <v>2.4</v>
      </c>
      <c r="AG44" s="479"/>
      <c r="AH44" s="479"/>
      <c r="AI44" s="479"/>
      <c r="AJ44" s="479"/>
      <c r="AK44" s="479"/>
      <c r="AL44" s="481"/>
      <c r="AM44" s="458"/>
      <c r="AN44" s="760"/>
      <c r="AO44" s="459"/>
      <c r="AP44" s="161"/>
    </row>
    <row r="45" spans="1:42" ht="14.4">
      <c r="B45" s="274" t="s">
        <v>208</v>
      </c>
      <c r="C45" s="277"/>
      <c r="R45" s="145"/>
      <c r="S45" s="147"/>
      <c r="AC45" s="481"/>
      <c r="AD45" s="479" t="s">
        <v>311</v>
      </c>
      <c r="AE45" s="483">
        <v>9.7786760990399204E-3</v>
      </c>
      <c r="AF45" s="761">
        <v>-1.42E-3</v>
      </c>
      <c r="AG45" s="479"/>
      <c r="AH45" s="479"/>
      <c r="AI45" s="479"/>
      <c r="AJ45" s="479"/>
      <c r="AK45" s="479"/>
      <c r="AL45" s="481"/>
      <c r="AM45" s="458"/>
      <c r="AN45" s="760"/>
      <c r="AO45" s="459"/>
      <c r="AP45" s="161"/>
    </row>
    <row r="46" spans="1:42">
      <c r="S46" s="147"/>
      <c r="AC46" s="481"/>
      <c r="AD46" s="481" t="s">
        <v>266</v>
      </c>
      <c r="AE46" s="481"/>
      <c r="AF46" s="481"/>
      <c r="AG46" s="481"/>
      <c r="AH46" s="481"/>
      <c r="AI46" s="481"/>
      <c r="AJ46" s="481"/>
      <c r="AK46" s="481"/>
      <c r="AL46" s="481"/>
      <c r="AM46" s="458"/>
      <c r="AN46" s="760"/>
      <c r="AO46" s="161"/>
      <c r="AP46" s="161"/>
    </row>
    <row r="47" spans="1:42" ht="14.4">
      <c r="AC47" s="481"/>
      <c r="AD47" s="481"/>
      <c r="AE47" s="752">
        <v>2</v>
      </c>
      <c r="AF47" s="752">
        <v>3</v>
      </c>
      <c r="AG47" s="752">
        <v>4</v>
      </c>
      <c r="AH47" s="752">
        <v>5</v>
      </c>
      <c r="AI47" s="752">
        <v>6</v>
      </c>
      <c r="AJ47" s="752">
        <v>7</v>
      </c>
      <c r="AK47" s="752">
        <v>8</v>
      </c>
      <c r="AL47" s="753"/>
      <c r="AM47" s="458"/>
      <c r="AN47" s="760"/>
      <c r="AO47" s="161"/>
      <c r="AP47" s="161"/>
    </row>
    <row r="48" spans="1:42" ht="14.4">
      <c r="AB48" s="411"/>
      <c r="AC48" s="411"/>
      <c r="AD48" s="472" t="s">
        <v>38</v>
      </c>
      <c r="AE48" s="472" t="s">
        <v>169</v>
      </c>
      <c r="AF48" s="472" t="s">
        <v>43</v>
      </c>
      <c r="AG48" s="472" t="s">
        <v>47</v>
      </c>
      <c r="AH48" s="472" t="s">
        <v>170</v>
      </c>
      <c r="AI48" s="472" t="s">
        <v>217</v>
      </c>
      <c r="AJ48" s="472" t="s">
        <v>172</v>
      </c>
      <c r="AK48" s="472" t="s">
        <v>173</v>
      </c>
      <c r="AL48" s="753" t="s">
        <v>314</v>
      </c>
      <c r="AM48" s="458"/>
      <c r="AN48" s="760"/>
      <c r="AO48" s="161"/>
      <c r="AP48" s="161"/>
    </row>
    <row r="49" spans="1:42" ht="14.4">
      <c r="AB49" s="411">
        <v>117</v>
      </c>
      <c r="AC49" s="411" t="s">
        <v>297</v>
      </c>
      <c r="AD49" s="464">
        <v>1</v>
      </c>
      <c r="AE49" s="754">
        <f>AE52*1.17</f>
        <v>10.418264999999998</v>
      </c>
      <c r="AF49" s="755">
        <f>AF29+AF30*$AK$21+AF31*$AK$22</f>
        <v>9932.0427043984891</v>
      </c>
      <c r="AG49" s="756">
        <f>AG29+AG30*$AK$21+AG31*$AK$22</f>
        <v>9.0584875258766058</v>
      </c>
      <c r="AH49" s="755">
        <f>AH29+AH30*$AK$21+AH31*$AK$22</f>
        <v>524.92258360543781</v>
      </c>
      <c r="AI49" s="755">
        <f>AI29+AI30*$AK$21+AI31*$AK$22</f>
        <v>725.54550013871994</v>
      </c>
      <c r="AJ49" s="755">
        <f>$AJ$29+$AJ$30*$AK$21+$AJ$31*$AK$22</f>
        <v>56.376819365302936</v>
      </c>
      <c r="AK49" s="755">
        <f>$AK$29+$AK$30*$AK$21+$AK$31*$AK$22</f>
        <v>33.953592025491638</v>
      </c>
      <c r="AL49" s="757">
        <f>AE29+$AK$21*AE30</f>
        <v>9.7485714285714256</v>
      </c>
      <c r="AM49" s="758"/>
      <c r="AN49" s="760"/>
      <c r="AO49" s="161"/>
      <c r="AP49" s="161"/>
    </row>
    <row r="50" spans="1:42" ht="14.4">
      <c r="AB50" s="411">
        <v>111</v>
      </c>
      <c r="AC50" s="411" t="s">
        <v>291</v>
      </c>
      <c r="AD50" s="464">
        <v>2</v>
      </c>
      <c r="AE50" s="754">
        <f>AE52*1.1</f>
        <v>9.79495</v>
      </c>
      <c r="AF50" s="755">
        <f>AF34+AF35*$AK$21+AF36*$AK$22</f>
        <v>9461.4762084395661</v>
      </c>
      <c r="AG50" s="756">
        <f>AG34+AG35*$AK$21+AG36*$AK$22</f>
        <v>8.357755346271917</v>
      </c>
      <c r="AH50" s="755">
        <f>AH34+AH35*$AK$21+AH36*$AK$22</f>
        <v>544.67395546074204</v>
      </c>
      <c r="AI50" s="755">
        <f>AI34+AI35*$AK$21+AI36*$AK$22</f>
        <v>849.81783001196732</v>
      </c>
      <c r="AJ50" s="755">
        <f>$AJ$29+$AJ$30*$AK$21+$AJ$31*$AK$22</f>
        <v>56.376819365302936</v>
      </c>
      <c r="AK50" s="755">
        <f>$AK$29+$AK$30*$AK$21+$AK$31*$AK$22</f>
        <v>33.953592025491638</v>
      </c>
      <c r="AL50" s="757">
        <f>AE34+$AK$21*AE35</f>
        <v>9.0906286155032756</v>
      </c>
      <c r="AM50" s="758"/>
      <c r="AO50" s="109"/>
    </row>
    <row r="51" spans="1:42" ht="14.4">
      <c r="AB51" s="411">
        <v>105</v>
      </c>
      <c r="AC51" s="411" t="s">
        <v>296</v>
      </c>
      <c r="AD51" s="464">
        <v>3</v>
      </c>
      <c r="AE51" s="754">
        <f>AE52*1.05</f>
        <v>9.3497249999999994</v>
      </c>
      <c r="AF51" s="755">
        <f>AF39+AF40*$AK$21+AF41*$AK$22</f>
        <v>8627.2157604693093</v>
      </c>
      <c r="AG51" s="756">
        <f>AG39+AG40*$AK$21+AG41*$AK$22</f>
        <v>8.15885923254692</v>
      </c>
      <c r="AH51" s="755">
        <f>AH39+AH40*$AK$21+AH41*$AK$22</f>
        <v>559.18969195215482</v>
      </c>
      <c r="AI51" s="755">
        <f>AI39+AI40*$AK$21+AI41*$AK$22</f>
        <v>804.75761231175557</v>
      </c>
      <c r="AJ51" s="755">
        <f>$AJ$29+$AJ$30*$AK$21+$AJ$31*$AK$22</f>
        <v>56.376819365302936</v>
      </c>
      <c r="AK51" s="755">
        <f>$AK$29+$AK$30*$AK$21+$AK$31*$AK$22</f>
        <v>33.953592025491638</v>
      </c>
      <c r="AL51" s="757">
        <f>AE39+$AK$21*AE40</f>
        <v>8.6502273875694762</v>
      </c>
      <c r="AM51" s="758"/>
      <c r="AN51" s="760"/>
      <c r="AO51" s="161"/>
      <c r="AP51" s="161"/>
    </row>
    <row r="52" spans="1:42" ht="14.4">
      <c r="AB52" s="411">
        <v>100</v>
      </c>
      <c r="AC52" s="411" t="s">
        <v>293</v>
      </c>
      <c r="AD52" s="464">
        <v>4</v>
      </c>
      <c r="AE52" s="754">
        <f>(AF44+AF45*D11)*(D11/100)</f>
        <v>8.9044999999999987</v>
      </c>
      <c r="AF52" s="755">
        <f>AF39+AF40*$AK$21+AF41*$AK$22</f>
        <v>8627.2157604693093</v>
      </c>
      <c r="AG52" s="756">
        <f>AG39+AG40*$AK$21+AG41*$AK$22</f>
        <v>8.15885923254692</v>
      </c>
      <c r="AH52" s="755">
        <f>AH39+AH40*$AK$21+AH41*$AK$22</f>
        <v>559.18969195215482</v>
      </c>
      <c r="AI52" s="755">
        <f>AI39+AI40*$AK$21+AI41*$AK$22</f>
        <v>804.75761231175557</v>
      </c>
      <c r="AJ52" s="755">
        <f>$AJ$29+$AJ$30*$AK$21+$AJ$31*$AK$22</f>
        <v>56.376819365302936</v>
      </c>
      <c r="AK52" s="755">
        <f>$AK$29+$AK$30*$AK$21+$AK$31*$AK$22</f>
        <v>33.953592025491638</v>
      </c>
      <c r="AL52" s="757">
        <f>AE44+$AK$21*AE45</f>
        <v>8.2058110156644766</v>
      </c>
      <c r="AM52" s="758"/>
      <c r="AN52" s="760"/>
      <c r="AO52" s="161"/>
      <c r="AP52" s="161"/>
    </row>
    <row r="53" spans="1:42">
      <c r="AM53" s="459"/>
      <c r="AN53" s="760"/>
      <c r="AO53" s="161"/>
      <c r="AP53" s="161"/>
    </row>
    <row r="54" spans="1:42">
      <c r="AM54" s="459"/>
      <c r="AN54" s="760"/>
      <c r="AO54" s="161"/>
      <c r="AP54" s="161"/>
    </row>
    <row r="55" spans="1:42">
      <c r="AG55" s="311"/>
      <c r="AM55" s="459"/>
      <c r="AN55" s="760"/>
      <c r="AO55" s="161"/>
      <c r="AP55" s="161"/>
    </row>
    <row r="56" spans="1:42">
      <c r="AG56" s="311"/>
      <c r="AM56" s="459"/>
      <c r="AN56" s="760"/>
      <c r="AO56" s="161"/>
      <c r="AP56" s="161"/>
    </row>
    <row r="57" spans="1:42">
      <c r="AG57" s="311"/>
      <c r="AM57" s="459"/>
      <c r="AN57" s="760"/>
      <c r="AO57" s="161"/>
      <c r="AP57" s="161"/>
    </row>
    <row r="58" spans="1:42">
      <c r="AG58" s="311"/>
      <c r="AM58" s="459"/>
      <c r="AN58" s="760"/>
      <c r="AO58" s="161"/>
      <c r="AP58" s="161"/>
    </row>
    <row r="59" spans="1:42">
      <c r="AG59" s="311"/>
      <c r="AM59" s="459"/>
      <c r="AN59" s="760"/>
      <c r="AO59" s="161"/>
      <c r="AP59" s="161"/>
    </row>
    <row r="60" spans="1:42">
      <c r="AG60" s="311"/>
      <c r="AM60" s="459"/>
      <c r="AN60" s="760"/>
      <c r="AO60" s="161"/>
      <c r="AP60" s="161"/>
    </row>
    <row r="61" spans="1:42">
      <c r="AG61" s="311"/>
      <c r="AM61" s="459"/>
      <c r="AN61" s="760"/>
      <c r="AO61" s="161"/>
      <c r="AP61" s="161"/>
    </row>
    <row r="62" spans="1:42">
      <c r="AG62" s="311"/>
      <c r="AM62" s="459"/>
      <c r="AN62" s="760"/>
      <c r="AO62" s="161"/>
      <c r="AP62" s="161"/>
    </row>
    <row r="63" spans="1:42">
      <c r="AG63" s="311"/>
      <c r="AM63" s="459"/>
      <c r="AN63" s="760"/>
      <c r="AO63" s="161"/>
      <c r="AP63" s="161"/>
    </row>
    <row r="64" spans="1:42">
      <c r="A64" s="148"/>
      <c r="B64" s="148"/>
      <c r="C64" s="148"/>
      <c r="AG64" s="311"/>
      <c r="AM64" s="459"/>
      <c r="AN64" s="760"/>
      <c r="AO64" s="161"/>
      <c r="AP64" s="161"/>
    </row>
    <row r="65" spans="1:42">
      <c r="A65" s="148"/>
      <c r="B65" s="148"/>
      <c r="C65" s="148"/>
      <c r="AG65" s="311"/>
      <c r="AM65" s="459"/>
      <c r="AN65" s="760"/>
      <c r="AO65" s="161"/>
      <c r="AP65" s="161"/>
    </row>
    <row r="66" spans="1:42">
      <c r="A66" s="148"/>
      <c r="B66" s="148"/>
      <c r="C66" s="148"/>
      <c r="AG66" s="311"/>
      <c r="AM66" s="459"/>
      <c r="AN66" s="760"/>
      <c r="AO66" s="161"/>
      <c r="AP66" s="161"/>
    </row>
    <row r="67" spans="1:42">
      <c r="AG67" s="311"/>
      <c r="AM67" s="459"/>
      <c r="AN67" s="760"/>
      <c r="AO67" s="161"/>
      <c r="AP67" s="161"/>
    </row>
    <row r="68" spans="1:42">
      <c r="AG68" s="311"/>
      <c r="AM68" s="459"/>
      <c r="AN68" s="760"/>
      <c r="AO68" s="161"/>
      <c r="AP68" s="161"/>
    </row>
    <row r="69" spans="1:42" ht="15.6">
      <c r="A69" s="110"/>
      <c r="D69" s="111"/>
      <c r="E69" s="111"/>
      <c r="F69" s="111"/>
      <c r="G69" s="111"/>
      <c r="H69" s="111"/>
      <c r="I69" s="111"/>
      <c r="J69" s="111"/>
      <c r="K69" s="111"/>
      <c r="L69" s="111"/>
      <c r="AG69" s="311"/>
      <c r="AM69" s="459"/>
      <c r="AN69" s="760"/>
      <c r="AO69" s="161"/>
      <c r="AP69" s="161"/>
    </row>
    <row r="70" spans="1:42">
      <c r="D70" s="673"/>
      <c r="E70" s="673"/>
      <c r="F70" s="673"/>
      <c r="G70" s="673"/>
      <c r="H70" s="673"/>
      <c r="I70" s="673"/>
      <c r="J70" s="673"/>
      <c r="K70" s="673"/>
      <c r="L70" s="673"/>
      <c r="AG70" s="311"/>
      <c r="AM70" s="459"/>
      <c r="AN70" s="760"/>
      <c r="AO70" s="161"/>
      <c r="AP70" s="161"/>
    </row>
    <row r="71" spans="1:42">
      <c r="E71" s="674"/>
      <c r="F71" s="674"/>
      <c r="G71" s="674"/>
      <c r="H71" s="674"/>
      <c r="I71" s="674"/>
      <c r="J71" s="674"/>
      <c r="K71" s="674"/>
      <c r="L71" s="674"/>
      <c r="AG71" s="311"/>
      <c r="AM71" s="459"/>
      <c r="AN71" s="760"/>
      <c r="AO71" s="109"/>
      <c r="AP71" s="161"/>
    </row>
    <row r="72" spans="1:42">
      <c r="E72" s="150"/>
      <c r="F72" s="150"/>
      <c r="G72" s="150"/>
      <c r="H72" s="150"/>
      <c r="I72" s="150"/>
      <c r="J72" s="150"/>
      <c r="K72" s="150"/>
      <c r="L72" s="150"/>
      <c r="AG72" s="311"/>
      <c r="AM72" s="459"/>
      <c r="AN72" s="760"/>
      <c r="AO72" s="109"/>
      <c r="AP72" s="161"/>
    </row>
    <row r="73" spans="1:42" s="295" customFormat="1">
      <c r="A73" s="411"/>
      <c r="B73" s="411"/>
      <c r="C73" s="411"/>
      <c r="D73" s="411"/>
      <c r="E73" s="460">
        <v>1</v>
      </c>
      <c r="F73" s="460">
        <v>1</v>
      </c>
      <c r="G73" s="460">
        <v>1</v>
      </c>
      <c r="H73" s="460">
        <v>1</v>
      </c>
      <c r="I73" s="460">
        <v>1</v>
      </c>
      <c r="J73" s="460">
        <v>1</v>
      </c>
      <c r="K73" s="460">
        <v>1</v>
      </c>
      <c r="L73" s="460">
        <v>1</v>
      </c>
      <c r="M73" s="411"/>
      <c r="N73" s="411"/>
      <c r="O73" s="411"/>
      <c r="P73" s="411"/>
      <c r="Q73" s="411"/>
      <c r="R73" s="411"/>
      <c r="S73" s="411"/>
      <c r="T73" s="411"/>
      <c r="U73" s="411"/>
      <c r="V73" s="411"/>
      <c r="W73" s="411"/>
      <c r="Y73" s="615"/>
      <c r="Z73" s="615"/>
      <c r="AA73" s="615"/>
      <c r="AG73" s="311"/>
      <c r="AM73" s="459"/>
      <c r="AN73" s="760"/>
      <c r="AP73" s="459"/>
    </row>
    <row r="74" spans="1:42" s="295" customFormat="1" ht="26.4">
      <c r="A74" s="461" t="s">
        <v>38</v>
      </c>
      <c r="B74" s="461" t="s">
        <v>40</v>
      </c>
      <c r="C74" s="462" t="s">
        <v>187</v>
      </c>
      <c r="D74" s="462" t="s">
        <v>188</v>
      </c>
      <c r="E74" s="462" t="s">
        <v>220</v>
      </c>
      <c r="F74" s="462" t="s">
        <v>190</v>
      </c>
      <c r="G74" s="462" t="s">
        <v>191</v>
      </c>
      <c r="H74" s="462" t="s">
        <v>43</v>
      </c>
      <c r="I74" s="462" t="s">
        <v>44</v>
      </c>
      <c r="J74" s="462" t="s">
        <v>45</v>
      </c>
      <c r="K74" s="462" t="s">
        <v>47</v>
      </c>
      <c r="L74" s="462" t="s">
        <v>48</v>
      </c>
      <c r="M74" s="462" t="s">
        <v>49</v>
      </c>
      <c r="N74" s="462" t="s">
        <v>50</v>
      </c>
      <c r="O74" s="462" t="s">
        <v>51</v>
      </c>
      <c r="P74" s="462" t="s">
        <v>52</v>
      </c>
      <c r="Q74" s="462" t="s">
        <v>53</v>
      </c>
      <c r="R74" s="462" t="s">
        <v>54</v>
      </c>
      <c r="S74" s="462" t="s">
        <v>193</v>
      </c>
      <c r="T74" s="462" t="s">
        <v>56</v>
      </c>
      <c r="U74" s="462" t="s">
        <v>57</v>
      </c>
      <c r="V74" s="462" t="s">
        <v>59</v>
      </c>
      <c r="W74" s="462" t="s">
        <v>221</v>
      </c>
      <c r="Y74" s="615"/>
      <c r="Z74" s="615"/>
      <c r="AA74" s="615"/>
      <c r="AG74" s="311"/>
      <c r="AM74" s="459"/>
      <c r="AN74" s="760"/>
      <c r="AP74" s="459"/>
    </row>
    <row r="75" spans="1:42" s="295" customFormat="1">
      <c r="A75" s="463">
        <f>IF(ISBLANK($B18),0,_xlfn.XLOOKUP($B18,'Liste des aliments'!$C$6:$C$282,'Liste des aliments'!$A$6:$A$282,0))</f>
        <v>0</v>
      </c>
      <c r="B75" s="463">
        <f t="shared" ref="B75:G84" si="9">B18</f>
        <v>0</v>
      </c>
      <c r="C75" s="464" t="str">
        <f t="shared" si="9"/>
        <v/>
      </c>
      <c r="D75" s="464">
        <f t="shared" si="9"/>
        <v>0</v>
      </c>
      <c r="E75" s="464">
        <f t="shared" si="9"/>
        <v>0</v>
      </c>
      <c r="F75" s="465" t="str">
        <f t="shared" si="9"/>
        <v xml:space="preserve"> </v>
      </c>
      <c r="G75" s="466" t="str">
        <f t="shared" si="9"/>
        <v xml:space="preserve"> </v>
      </c>
      <c r="H75" s="467" t="str">
        <f t="shared" ref="H75:W75" si="10">IF($B75&gt;0,(IF($C75="F",H18*$G18,(H18/($F18/100))*$G18))," ")</f>
        <v xml:space="preserve"> </v>
      </c>
      <c r="I75" s="467" t="str">
        <f t="shared" si="10"/>
        <v xml:space="preserve"> </v>
      </c>
      <c r="J75" s="467" t="str">
        <f t="shared" si="10"/>
        <v xml:space="preserve"> </v>
      </c>
      <c r="K75" s="466" t="str">
        <f t="shared" si="10"/>
        <v xml:space="preserve"> </v>
      </c>
      <c r="L75" s="467" t="str">
        <f t="shared" si="10"/>
        <v xml:space="preserve"> </v>
      </c>
      <c r="M75" s="467" t="str">
        <f t="shared" si="10"/>
        <v xml:space="preserve"> </v>
      </c>
      <c r="N75" s="467" t="str">
        <f t="shared" si="10"/>
        <v xml:space="preserve"> </v>
      </c>
      <c r="O75" s="467" t="str">
        <f t="shared" si="10"/>
        <v xml:space="preserve"> </v>
      </c>
      <c r="P75" s="467" t="str">
        <f t="shared" si="10"/>
        <v xml:space="preserve"> </v>
      </c>
      <c r="Q75" s="467" t="str">
        <f t="shared" si="10"/>
        <v xml:space="preserve"> </v>
      </c>
      <c r="R75" s="467" t="str">
        <f t="shared" si="10"/>
        <v xml:space="preserve"> </v>
      </c>
      <c r="S75" s="467" t="str">
        <f t="shared" si="10"/>
        <v xml:space="preserve"> </v>
      </c>
      <c r="T75" s="467" t="str">
        <f t="shared" si="10"/>
        <v xml:space="preserve"> </v>
      </c>
      <c r="U75" s="467" t="str">
        <f t="shared" si="10"/>
        <v xml:space="preserve"> </v>
      </c>
      <c r="V75" s="467" t="str">
        <f t="shared" si="10"/>
        <v xml:space="preserve"> </v>
      </c>
      <c r="W75" s="466" t="str">
        <f t="shared" si="10"/>
        <v xml:space="preserve"> </v>
      </c>
      <c r="Y75" s="615"/>
      <c r="Z75" s="615"/>
      <c r="AA75" s="615"/>
      <c r="AG75" s="311"/>
      <c r="AM75" s="459"/>
      <c r="AN75" s="760"/>
      <c r="AP75" s="459"/>
    </row>
    <row r="76" spans="1:42" s="295" customFormat="1">
      <c r="A76" s="463">
        <f>IF(ISBLANK($B19),0,_xlfn.XLOOKUP($B19,'Liste des aliments'!$C$6:$C$282,'Liste des aliments'!$A$6:$A$282,0))</f>
        <v>0</v>
      </c>
      <c r="B76" s="463">
        <f t="shared" si="9"/>
        <v>0</v>
      </c>
      <c r="C76" s="464" t="str">
        <f t="shared" si="9"/>
        <v/>
      </c>
      <c r="D76" s="464">
        <f t="shared" si="9"/>
        <v>0</v>
      </c>
      <c r="E76" s="464">
        <f t="shared" si="9"/>
        <v>0</v>
      </c>
      <c r="F76" s="465" t="str">
        <f t="shared" si="9"/>
        <v xml:space="preserve"> </v>
      </c>
      <c r="G76" s="466" t="str">
        <f t="shared" si="9"/>
        <v xml:space="preserve"> </v>
      </c>
      <c r="H76" s="467" t="str">
        <f t="shared" ref="H76:W76" si="11">IF($B76&gt;0,(IF($C76="F",H19*$G19,(H19/($F19/100))*$G19))," ")</f>
        <v xml:space="preserve"> </v>
      </c>
      <c r="I76" s="467" t="str">
        <f t="shared" si="11"/>
        <v xml:space="preserve"> </v>
      </c>
      <c r="J76" s="467" t="str">
        <f t="shared" si="11"/>
        <v xml:space="preserve"> </v>
      </c>
      <c r="K76" s="466" t="str">
        <f t="shared" si="11"/>
        <v xml:space="preserve"> </v>
      </c>
      <c r="L76" s="467" t="str">
        <f t="shared" si="11"/>
        <v xml:space="preserve"> </v>
      </c>
      <c r="M76" s="467" t="str">
        <f t="shared" si="11"/>
        <v xml:space="preserve"> </v>
      </c>
      <c r="N76" s="467" t="str">
        <f t="shared" si="11"/>
        <v xml:space="preserve"> </v>
      </c>
      <c r="O76" s="467" t="str">
        <f t="shared" si="11"/>
        <v xml:space="preserve"> </v>
      </c>
      <c r="P76" s="467" t="str">
        <f t="shared" si="11"/>
        <v xml:space="preserve"> </v>
      </c>
      <c r="Q76" s="467" t="str">
        <f t="shared" si="11"/>
        <v xml:space="preserve"> </v>
      </c>
      <c r="R76" s="467" t="str">
        <f t="shared" si="11"/>
        <v xml:space="preserve"> </v>
      </c>
      <c r="S76" s="467" t="str">
        <f t="shared" si="11"/>
        <v xml:space="preserve"> </v>
      </c>
      <c r="T76" s="467" t="str">
        <f t="shared" si="11"/>
        <v xml:space="preserve"> </v>
      </c>
      <c r="U76" s="467" t="str">
        <f t="shared" si="11"/>
        <v xml:space="preserve"> </v>
      </c>
      <c r="V76" s="467" t="str">
        <f t="shared" si="11"/>
        <v xml:space="preserve"> </v>
      </c>
      <c r="W76" s="466" t="str">
        <f t="shared" si="11"/>
        <v xml:space="preserve"> </v>
      </c>
      <c r="Y76" s="615"/>
      <c r="Z76" s="615"/>
      <c r="AA76" s="615"/>
      <c r="AG76" s="311"/>
      <c r="AM76" s="459"/>
      <c r="AN76" s="760"/>
      <c r="AP76" s="459"/>
    </row>
    <row r="77" spans="1:42" s="295" customFormat="1">
      <c r="A77" s="463">
        <f>IF(ISBLANK($B20),0,_xlfn.XLOOKUP($B20,'Liste des aliments'!$C$6:$C$282,'Liste des aliments'!$A$6:$A$282,0))</f>
        <v>0</v>
      </c>
      <c r="B77" s="463">
        <f t="shared" si="9"/>
        <v>0</v>
      </c>
      <c r="C77" s="464" t="str">
        <f t="shared" si="9"/>
        <v/>
      </c>
      <c r="D77" s="464">
        <f t="shared" si="9"/>
        <v>0</v>
      </c>
      <c r="E77" s="464">
        <f t="shared" si="9"/>
        <v>0</v>
      </c>
      <c r="F77" s="465" t="str">
        <f t="shared" si="9"/>
        <v xml:space="preserve"> </v>
      </c>
      <c r="G77" s="466" t="str">
        <f t="shared" si="9"/>
        <v xml:space="preserve"> </v>
      </c>
      <c r="H77" s="467" t="str">
        <f t="shared" ref="H77:W77" si="12">IF($B77&gt;0,(IF($C77="F",H20*$G20,(H20/($F20/100))*$G20))," ")</f>
        <v xml:space="preserve"> </v>
      </c>
      <c r="I77" s="467" t="str">
        <f t="shared" si="12"/>
        <v xml:space="preserve"> </v>
      </c>
      <c r="J77" s="467" t="str">
        <f t="shared" si="12"/>
        <v xml:space="preserve"> </v>
      </c>
      <c r="K77" s="466" t="str">
        <f t="shared" si="12"/>
        <v xml:space="preserve"> </v>
      </c>
      <c r="L77" s="467" t="str">
        <f t="shared" si="12"/>
        <v xml:space="preserve"> </v>
      </c>
      <c r="M77" s="467" t="str">
        <f t="shared" si="12"/>
        <v xml:space="preserve"> </v>
      </c>
      <c r="N77" s="467" t="str">
        <f t="shared" si="12"/>
        <v xml:space="preserve"> </v>
      </c>
      <c r="O77" s="467" t="str">
        <f t="shared" si="12"/>
        <v xml:space="preserve"> </v>
      </c>
      <c r="P77" s="467" t="str">
        <f t="shared" si="12"/>
        <v xml:space="preserve"> </v>
      </c>
      <c r="Q77" s="467" t="str">
        <f t="shared" si="12"/>
        <v xml:space="preserve"> </v>
      </c>
      <c r="R77" s="467" t="str">
        <f t="shared" si="12"/>
        <v xml:space="preserve"> </v>
      </c>
      <c r="S77" s="467" t="str">
        <f t="shared" si="12"/>
        <v xml:space="preserve"> </v>
      </c>
      <c r="T77" s="467" t="str">
        <f t="shared" si="12"/>
        <v xml:space="preserve"> </v>
      </c>
      <c r="U77" s="467" t="str">
        <f t="shared" si="12"/>
        <v xml:space="preserve"> </v>
      </c>
      <c r="V77" s="467" t="str">
        <f t="shared" si="12"/>
        <v xml:space="preserve"> </v>
      </c>
      <c r="W77" s="467" t="str">
        <f t="shared" si="12"/>
        <v xml:space="preserve"> </v>
      </c>
      <c r="Y77" s="615"/>
      <c r="Z77" s="615"/>
      <c r="AA77" s="615"/>
      <c r="AG77" s="311"/>
      <c r="AM77" s="459"/>
      <c r="AN77" s="760"/>
      <c r="AP77" s="459"/>
    </row>
    <row r="78" spans="1:42" s="295" customFormat="1">
      <c r="A78" s="463">
        <f>IF(ISBLANK($B21),0,_xlfn.XLOOKUP($B21,'Liste des aliments'!$C$6:$C$282,'Liste des aliments'!$A$6:$A$282,0))</f>
        <v>0</v>
      </c>
      <c r="B78" s="463">
        <f t="shared" si="9"/>
        <v>0</v>
      </c>
      <c r="C78" s="464" t="str">
        <f t="shared" si="9"/>
        <v/>
      </c>
      <c r="D78" s="464">
        <f t="shared" si="9"/>
        <v>0</v>
      </c>
      <c r="E78" s="464">
        <f t="shared" si="9"/>
        <v>0</v>
      </c>
      <c r="F78" s="465" t="str">
        <f t="shared" si="9"/>
        <v xml:space="preserve"> </v>
      </c>
      <c r="G78" s="466" t="str">
        <f t="shared" si="9"/>
        <v xml:space="preserve"> </v>
      </c>
      <c r="H78" s="467" t="str">
        <f t="shared" ref="H78:W78" si="13">IF($B78&gt;0,(IF($C78="F",H21*$G21,(H21/($F21/100))*$G21))," ")</f>
        <v xml:space="preserve"> </v>
      </c>
      <c r="I78" s="467" t="str">
        <f t="shared" si="13"/>
        <v xml:space="preserve"> </v>
      </c>
      <c r="J78" s="467" t="str">
        <f t="shared" si="13"/>
        <v xml:space="preserve"> </v>
      </c>
      <c r="K78" s="466" t="str">
        <f t="shared" si="13"/>
        <v xml:space="preserve"> </v>
      </c>
      <c r="L78" s="467" t="str">
        <f t="shared" si="13"/>
        <v xml:space="preserve"> </v>
      </c>
      <c r="M78" s="467" t="str">
        <f t="shared" si="13"/>
        <v xml:space="preserve"> </v>
      </c>
      <c r="N78" s="467" t="str">
        <f t="shared" si="13"/>
        <v xml:space="preserve"> </v>
      </c>
      <c r="O78" s="467" t="str">
        <f t="shared" si="13"/>
        <v xml:space="preserve"> </v>
      </c>
      <c r="P78" s="467" t="str">
        <f t="shared" si="13"/>
        <v xml:space="preserve"> </v>
      </c>
      <c r="Q78" s="467" t="str">
        <f t="shared" si="13"/>
        <v xml:space="preserve"> </v>
      </c>
      <c r="R78" s="467" t="str">
        <f t="shared" si="13"/>
        <v xml:space="preserve"> </v>
      </c>
      <c r="S78" s="467" t="str">
        <f t="shared" si="13"/>
        <v xml:space="preserve"> </v>
      </c>
      <c r="T78" s="467" t="str">
        <f t="shared" si="13"/>
        <v xml:space="preserve"> </v>
      </c>
      <c r="U78" s="467" t="str">
        <f t="shared" si="13"/>
        <v xml:space="preserve"> </v>
      </c>
      <c r="V78" s="467" t="str">
        <f t="shared" si="13"/>
        <v xml:space="preserve"> </v>
      </c>
      <c r="W78" s="467" t="str">
        <f t="shared" si="13"/>
        <v xml:space="preserve"> </v>
      </c>
      <c r="Y78" s="615"/>
      <c r="Z78" s="615"/>
      <c r="AA78" s="615"/>
      <c r="AG78" s="311"/>
      <c r="AM78" s="459"/>
      <c r="AN78" s="760"/>
      <c r="AP78" s="459"/>
    </row>
    <row r="79" spans="1:42" s="295" customFormat="1">
      <c r="A79" s="463">
        <f>IF(ISBLANK($B22),0,_xlfn.XLOOKUP($B22,'Liste des aliments'!$C$6:$C$282,'Liste des aliments'!$A$6:$A$282,0))</f>
        <v>0</v>
      </c>
      <c r="B79" s="463">
        <f t="shared" si="9"/>
        <v>0</v>
      </c>
      <c r="C79" s="464" t="str">
        <f t="shared" si="9"/>
        <v/>
      </c>
      <c r="D79" s="464">
        <f t="shared" si="9"/>
        <v>0</v>
      </c>
      <c r="E79" s="464">
        <f t="shared" si="9"/>
        <v>0</v>
      </c>
      <c r="F79" s="465" t="str">
        <f t="shared" si="9"/>
        <v xml:space="preserve"> </v>
      </c>
      <c r="G79" s="466" t="str">
        <f t="shared" si="9"/>
        <v xml:space="preserve"> </v>
      </c>
      <c r="H79" s="467" t="str">
        <f t="shared" ref="H79:V79" si="14">IF($B79&gt;0,(IF($C79="F",H22*$G22,(H22/($F22/100))*$G22))," ")</f>
        <v xml:space="preserve"> </v>
      </c>
      <c r="I79" s="467" t="str">
        <f t="shared" si="14"/>
        <v xml:space="preserve"> </v>
      </c>
      <c r="J79" s="467" t="str">
        <f t="shared" si="14"/>
        <v xml:space="preserve"> </v>
      </c>
      <c r="K79" s="466" t="str">
        <f t="shared" si="14"/>
        <v xml:space="preserve"> </v>
      </c>
      <c r="L79" s="467" t="str">
        <f t="shared" si="14"/>
        <v xml:space="preserve"> </v>
      </c>
      <c r="M79" s="467" t="str">
        <f t="shared" si="14"/>
        <v xml:space="preserve"> </v>
      </c>
      <c r="N79" s="467" t="str">
        <f t="shared" si="14"/>
        <v xml:space="preserve"> </v>
      </c>
      <c r="O79" s="467" t="str">
        <f t="shared" si="14"/>
        <v xml:space="preserve"> </v>
      </c>
      <c r="P79" s="467" t="str">
        <f t="shared" si="14"/>
        <v xml:space="preserve"> </v>
      </c>
      <c r="Q79" s="467" t="str">
        <f t="shared" si="14"/>
        <v xml:space="preserve"> </v>
      </c>
      <c r="R79" s="467" t="str">
        <f t="shared" si="14"/>
        <v xml:space="preserve"> </v>
      </c>
      <c r="S79" s="467" t="str">
        <f t="shared" si="14"/>
        <v xml:space="preserve"> </v>
      </c>
      <c r="T79" s="467" t="str">
        <f t="shared" si="14"/>
        <v xml:space="preserve"> </v>
      </c>
      <c r="U79" s="467" t="str">
        <f t="shared" si="14"/>
        <v xml:space="preserve"> </v>
      </c>
      <c r="V79" s="467" t="str">
        <f t="shared" si="14"/>
        <v xml:space="preserve"> </v>
      </c>
      <c r="W79" s="467" t="str">
        <f>IF($B79&gt;0,(IF($C79="F",W22*$G22,(W22/($F22/100))*$G22))," ")</f>
        <v xml:space="preserve"> </v>
      </c>
      <c r="Y79" s="615"/>
      <c r="Z79" s="615"/>
      <c r="AA79" s="615"/>
      <c r="AG79" s="311"/>
      <c r="AM79" s="459"/>
      <c r="AN79" s="760"/>
      <c r="AP79" s="459"/>
    </row>
    <row r="80" spans="1:42" s="295" customFormat="1">
      <c r="A80" s="463">
        <f>IF(ISBLANK($B23),0,_xlfn.XLOOKUP($B23,'Liste des aliments'!$C$6:$C$282,'Liste des aliments'!$A$6:$A$282,0))</f>
        <v>0</v>
      </c>
      <c r="B80" s="463">
        <f t="shared" si="9"/>
        <v>0</v>
      </c>
      <c r="C80" s="464" t="str">
        <f t="shared" si="9"/>
        <v/>
      </c>
      <c r="D80" s="464">
        <f t="shared" si="9"/>
        <v>0</v>
      </c>
      <c r="E80" s="464">
        <f t="shared" si="9"/>
        <v>0</v>
      </c>
      <c r="F80" s="465" t="str">
        <f t="shared" si="9"/>
        <v xml:space="preserve"> </v>
      </c>
      <c r="G80" s="466" t="str">
        <f t="shared" si="9"/>
        <v xml:space="preserve"> </v>
      </c>
      <c r="H80" s="467" t="str">
        <f t="shared" ref="H80:W80" si="15">IF($B80&gt;0,(IF($C80="F",H23*$G23,(H23/($F23/100))*$G23))," ")</f>
        <v xml:space="preserve"> </v>
      </c>
      <c r="I80" s="467" t="str">
        <f t="shared" si="15"/>
        <v xml:space="preserve"> </v>
      </c>
      <c r="J80" s="467" t="str">
        <f t="shared" si="15"/>
        <v xml:space="preserve"> </v>
      </c>
      <c r="K80" s="466" t="str">
        <f t="shared" si="15"/>
        <v xml:space="preserve"> </v>
      </c>
      <c r="L80" s="467" t="str">
        <f t="shared" si="15"/>
        <v xml:space="preserve"> </v>
      </c>
      <c r="M80" s="467" t="str">
        <f t="shared" si="15"/>
        <v xml:space="preserve"> </v>
      </c>
      <c r="N80" s="467" t="str">
        <f t="shared" si="15"/>
        <v xml:space="preserve"> </v>
      </c>
      <c r="O80" s="467" t="str">
        <f t="shared" si="15"/>
        <v xml:space="preserve"> </v>
      </c>
      <c r="P80" s="467" t="str">
        <f t="shared" si="15"/>
        <v xml:space="preserve"> </v>
      </c>
      <c r="Q80" s="467" t="str">
        <f t="shared" si="15"/>
        <v xml:space="preserve"> </v>
      </c>
      <c r="R80" s="467" t="str">
        <f t="shared" si="15"/>
        <v xml:space="preserve"> </v>
      </c>
      <c r="S80" s="467" t="str">
        <f t="shared" si="15"/>
        <v xml:space="preserve"> </v>
      </c>
      <c r="T80" s="467" t="str">
        <f t="shared" si="15"/>
        <v xml:space="preserve"> </v>
      </c>
      <c r="U80" s="467" t="str">
        <f t="shared" si="15"/>
        <v xml:space="preserve"> </v>
      </c>
      <c r="V80" s="467" t="str">
        <f t="shared" si="15"/>
        <v xml:space="preserve"> </v>
      </c>
      <c r="W80" s="467" t="str">
        <f t="shared" si="15"/>
        <v xml:space="preserve"> </v>
      </c>
      <c r="Y80" s="615"/>
      <c r="Z80" s="615"/>
      <c r="AA80" s="615"/>
      <c r="AG80" s="311"/>
      <c r="AM80" s="459"/>
      <c r="AN80" s="760"/>
      <c r="AP80" s="459"/>
    </row>
    <row r="81" spans="1:42" s="295" customFormat="1">
      <c r="A81" s="463">
        <f>IF(ISBLANK($B24),0,_xlfn.XLOOKUP($B24,'Liste des aliments'!$C$6:$C$282,'Liste des aliments'!$A$6:$A$282,0))</f>
        <v>0</v>
      </c>
      <c r="B81" s="463">
        <f t="shared" si="9"/>
        <v>0</v>
      </c>
      <c r="C81" s="464" t="str">
        <f t="shared" si="9"/>
        <v/>
      </c>
      <c r="D81" s="464">
        <f t="shared" si="9"/>
        <v>0</v>
      </c>
      <c r="E81" s="464">
        <f t="shared" si="9"/>
        <v>0</v>
      </c>
      <c r="F81" s="465" t="str">
        <f t="shared" si="9"/>
        <v xml:space="preserve"> </v>
      </c>
      <c r="G81" s="466" t="str">
        <f t="shared" si="9"/>
        <v xml:space="preserve"> </v>
      </c>
      <c r="H81" s="467" t="str">
        <f t="shared" ref="H81:W81" si="16">IF($B81&gt;0,(IF($C81="F",H24*$G24,(H24/($F24/100))*$G24))," ")</f>
        <v xml:space="preserve"> </v>
      </c>
      <c r="I81" s="467" t="str">
        <f t="shared" si="16"/>
        <v xml:space="preserve"> </v>
      </c>
      <c r="J81" s="467" t="str">
        <f t="shared" si="16"/>
        <v xml:space="preserve"> </v>
      </c>
      <c r="K81" s="466" t="str">
        <f t="shared" si="16"/>
        <v xml:space="preserve"> </v>
      </c>
      <c r="L81" s="467" t="str">
        <f t="shared" si="16"/>
        <v xml:space="preserve"> </v>
      </c>
      <c r="M81" s="467" t="str">
        <f t="shared" si="16"/>
        <v xml:space="preserve"> </v>
      </c>
      <c r="N81" s="467" t="str">
        <f t="shared" si="16"/>
        <v xml:space="preserve"> </v>
      </c>
      <c r="O81" s="467" t="str">
        <f t="shared" si="16"/>
        <v xml:space="preserve"> </v>
      </c>
      <c r="P81" s="467" t="str">
        <f t="shared" si="16"/>
        <v xml:space="preserve"> </v>
      </c>
      <c r="Q81" s="467" t="str">
        <f t="shared" si="16"/>
        <v xml:space="preserve"> </v>
      </c>
      <c r="R81" s="467" t="str">
        <f t="shared" si="16"/>
        <v xml:space="preserve"> </v>
      </c>
      <c r="S81" s="467" t="str">
        <f t="shared" si="16"/>
        <v xml:space="preserve"> </v>
      </c>
      <c r="T81" s="467" t="str">
        <f t="shared" si="16"/>
        <v xml:space="preserve"> </v>
      </c>
      <c r="U81" s="467" t="str">
        <f t="shared" si="16"/>
        <v xml:space="preserve"> </v>
      </c>
      <c r="V81" s="467" t="str">
        <f t="shared" si="16"/>
        <v xml:space="preserve"> </v>
      </c>
      <c r="W81" s="467" t="str">
        <f t="shared" si="16"/>
        <v xml:space="preserve"> </v>
      </c>
      <c r="Y81" s="615"/>
      <c r="Z81" s="615"/>
      <c r="AA81" s="615"/>
      <c r="AG81" s="311"/>
      <c r="AM81" s="459"/>
      <c r="AN81" s="760"/>
      <c r="AP81" s="459"/>
    </row>
    <row r="82" spans="1:42" s="295" customFormat="1">
      <c r="A82" s="463">
        <f>IF(ISBLANK($B25),0,_xlfn.XLOOKUP($B25,'Liste des aliments'!$C$6:$C$282,'Liste des aliments'!$A$6:$A$282,0))</f>
        <v>0</v>
      </c>
      <c r="B82" s="463">
        <f t="shared" si="9"/>
        <v>0</v>
      </c>
      <c r="C82" s="464" t="str">
        <f t="shared" si="9"/>
        <v/>
      </c>
      <c r="D82" s="464">
        <f t="shared" si="9"/>
        <v>0</v>
      </c>
      <c r="E82" s="464">
        <f t="shared" si="9"/>
        <v>0</v>
      </c>
      <c r="F82" s="465" t="str">
        <f t="shared" si="9"/>
        <v xml:space="preserve"> </v>
      </c>
      <c r="G82" s="466" t="str">
        <f t="shared" si="9"/>
        <v xml:space="preserve"> </v>
      </c>
      <c r="H82" s="467" t="str">
        <f t="shared" ref="H82:W82" si="17">IF($B82&gt;0,(IF($C82="F",H25*$G25,(H25/($F25/100))*$G25))," ")</f>
        <v xml:space="preserve"> </v>
      </c>
      <c r="I82" s="467" t="str">
        <f t="shared" si="17"/>
        <v xml:space="preserve"> </v>
      </c>
      <c r="J82" s="467" t="str">
        <f t="shared" si="17"/>
        <v xml:space="preserve"> </v>
      </c>
      <c r="K82" s="466" t="str">
        <f t="shared" si="17"/>
        <v xml:space="preserve"> </v>
      </c>
      <c r="L82" s="467" t="str">
        <f t="shared" si="17"/>
        <v xml:space="preserve"> </v>
      </c>
      <c r="M82" s="467" t="str">
        <f t="shared" si="17"/>
        <v xml:space="preserve"> </v>
      </c>
      <c r="N82" s="467" t="str">
        <f t="shared" si="17"/>
        <v xml:space="preserve"> </v>
      </c>
      <c r="O82" s="467" t="str">
        <f t="shared" si="17"/>
        <v xml:space="preserve"> </v>
      </c>
      <c r="P82" s="467" t="str">
        <f t="shared" si="17"/>
        <v xml:space="preserve"> </v>
      </c>
      <c r="Q82" s="467" t="str">
        <f t="shared" si="17"/>
        <v xml:space="preserve"> </v>
      </c>
      <c r="R82" s="467" t="str">
        <f t="shared" si="17"/>
        <v xml:space="preserve"> </v>
      </c>
      <c r="S82" s="467" t="str">
        <f t="shared" si="17"/>
        <v xml:space="preserve"> </v>
      </c>
      <c r="T82" s="467" t="str">
        <f t="shared" si="17"/>
        <v xml:space="preserve"> </v>
      </c>
      <c r="U82" s="467" t="str">
        <f t="shared" si="17"/>
        <v xml:space="preserve"> </v>
      </c>
      <c r="V82" s="467" t="str">
        <f t="shared" si="17"/>
        <v xml:space="preserve"> </v>
      </c>
      <c r="W82" s="467" t="str">
        <f t="shared" si="17"/>
        <v xml:space="preserve"> </v>
      </c>
      <c r="Y82" s="615"/>
      <c r="Z82" s="615"/>
      <c r="AA82" s="615"/>
      <c r="AG82" s="311"/>
      <c r="AM82" s="459"/>
      <c r="AN82" s="760"/>
      <c r="AP82" s="459"/>
    </row>
    <row r="83" spans="1:42" s="295" customFormat="1">
      <c r="A83" s="463">
        <f>IF(ISBLANK($B26),0,_xlfn.XLOOKUP($B26,'Liste des aliments'!$C$6:$C$282,'Liste des aliments'!$A$6:$A$282,0))</f>
        <v>0</v>
      </c>
      <c r="B83" s="463">
        <f t="shared" si="9"/>
        <v>0</v>
      </c>
      <c r="C83" s="464" t="str">
        <f t="shared" si="9"/>
        <v/>
      </c>
      <c r="D83" s="464">
        <f t="shared" si="9"/>
        <v>0</v>
      </c>
      <c r="E83" s="464">
        <f t="shared" si="9"/>
        <v>0</v>
      </c>
      <c r="F83" s="465" t="str">
        <f t="shared" si="9"/>
        <v xml:space="preserve"> </v>
      </c>
      <c r="G83" s="466" t="str">
        <f t="shared" si="9"/>
        <v xml:space="preserve"> </v>
      </c>
      <c r="H83" s="467" t="str">
        <f t="shared" ref="H83:W83" si="18">IF($B83&gt;0,(IF($C83="F",H26*$G26,(H26/($F26/100))*$G26))," ")</f>
        <v xml:space="preserve"> </v>
      </c>
      <c r="I83" s="467" t="str">
        <f t="shared" si="18"/>
        <v xml:space="preserve"> </v>
      </c>
      <c r="J83" s="467" t="str">
        <f t="shared" si="18"/>
        <v xml:space="preserve"> </v>
      </c>
      <c r="K83" s="466" t="str">
        <f t="shared" si="18"/>
        <v xml:space="preserve"> </v>
      </c>
      <c r="L83" s="467" t="str">
        <f t="shared" si="18"/>
        <v xml:space="preserve"> </v>
      </c>
      <c r="M83" s="467" t="str">
        <f t="shared" si="18"/>
        <v xml:space="preserve"> </v>
      </c>
      <c r="N83" s="467" t="str">
        <f t="shared" si="18"/>
        <v xml:space="preserve"> </v>
      </c>
      <c r="O83" s="467" t="str">
        <f t="shared" si="18"/>
        <v xml:space="preserve"> </v>
      </c>
      <c r="P83" s="467" t="str">
        <f t="shared" si="18"/>
        <v xml:space="preserve"> </v>
      </c>
      <c r="Q83" s="467" t="str">
        <f t="shared" si="18"/>
        <v xml:space="preserve"> </v>
      </c>
      <c r="R83" s="467" t="str">
        <f t="shared" si="18"/>
        <v xml:space="preserve"> </v>
      </c>
      <c r="S83" s="467" t="str">
        <f t="shared" si="18"/>
        <v xml:space="preserve"> </v>
      </c>
      <c r="T83" s="467" t="str">
        <f t="shared" si="18"/>
        <v xml:space="preserve"> </v>
      </c>
      <c r="U83" s="467" t="str">
        <f t="shared" si="18"/>
        <v xml:space="preserve"> </v>
      </c>
      <c r="V83" s="467" t="str">
        <f t="shared" si="18"/>
        <v xml:space="preserve"> </v>
      </c>
      <c r="W83" s="467" t="str">
        <f t="shared" si="18"/>
        <v xml:space="preserve"> </v>
      </c>
      <c r="Y83" s="615"/>
      <c r="Z83" s="615"/>
      <c r="AA83" s="615"/>
      <c r="AG83" s="311"/>
      <c r="AM83" s="459"/>
      <c r="AN83" s="760"/>
      <c r="AP83" s="459"/>
    </row>
    <row r="84" spans="1:42" s="295" customFormat="1">
      <c r="A84" s="463">
        <f>IF(ISBLANK($B27),0,_xlfn.XLOOKUP($B27,'Liste des aliments'!$C$6:$C$282,'Liste des aliments'!$A$6:$A$282,0))</f>
        <v>0</v>
      </c>
      <c r="B84" s="463">
        <f t="shared" si="9"/>
        <v>0</v>
      </c>
      <c r="C84" s="464" t="str">
        <f t="shared" si="9"/>
        <v/>
      </c>
      <c r="D84" s="464">
        <f t="shared" si="9"/>
        <v>0</v>
      </c>
      <c r="E84" s="464">
        <f t="shared" si="9"/>
        <v>0</v>
      </c>
      <c r="F84" s="465" t="str">
        <f t="shared" si="9"/>
        <v xml:space="preserve"> </v>
      </c>
      <c r="G84" s="466" t="str">
        <f t="shared" si="9"/>
        <v xml:space="preserve"> </v>
      </c>
      <c r="H84" s="467" t="str">
        <f t="shared" ref="H84:W84" si="19">IF($B84&gt;0,(IF($C84="F",H27*$G27,(H27/($F27/100))*$G27))," ")</f>
        <v xml:space="preserve"> </v>
      </c>
      <c r="I84" s="467" t="str">
        <f t="shared" si="19"/>
        <v xml:space="preserve"> </v>
      </c>
      <c r="J84" s="467" t="str">
        <f t="shared" si="19"/>
        <v xml:space="preserve"> </v>
      </c>
      <c r="K84" s="466" t="str">
        <f t="shared" si="19"/>
        <v xml:space="preserve"> </v>
      </c>
      <c r="L84" s="467" t="str">
        <f t="shared" si="19"/>
        <v xml:space="preserve"> </v>
      </c>
      <c r="M84" s="467" t="str">
        <f t="shared" si="19"/>
        <v xml:space="preserve"> </v>
      </c>
      <c r="N84" s="467" t="str">
        <f t="shared" si="19"/>
        <v xml:space="preserve"> </v>
      </c>
      <c r="O84" s="467" t="str">
        <f t="shared" si="19"/>
        <v xml:space="preserve"> </v>
      </c>
      <c r="P84" s="467" t="str">
        <f t="shared" si="19"/>
        <v xml:space="preserve"> </v>
      </c>
      <c r="Q84" s="467" t="str">
        <f t="shared" si="19"/>
        <v xml:space="preserve"> </v>
      </c>
      <c r="R84" s="467" t="str">
        <f t="shared" si="19"/>
        <v xml:space="preserve"> </v>
      </c>
      <c r="S84" s="467" t="str">
        <f t="shared" si="19"/>
        <v xml:space="preserve"> </v>
      </c>
      <c r="T84" s="467" t="str">
        <f t="shared" si="19"/>
        <v xml:space="preserve"> </v>
      </c>
      <c r="U84" s="467" t="str">
        <f t="shared" si="19"/>
        <v xml:space="preserve"> </v>
      </c>
      <c r="V84" s="467" t="str">
        <f t="shared" si="19"/>
        <v xml:space="preserve"> </v>
      </c>
      <c r="W84" s="467" t="str">
        <f t="shared" si="19"/>
        <v xml:space="preserve"> </v>
      </c>
      <c r="Y84" s="615"/>
      <c r="Z84" s="615"/>
      <c r="AA84" s="615"/>
      <c r="AG84" s="311"/>
      <c r="AM84" s="459"/>
      <c r="AN84" s="760"/>
      <c r="AP84" s="459"/>
    </row>
    <row r="85" spans="1:42" s="295" customFormat="1">
      <c r="A85" s="463">
        <f>IF(ISBLANK($B28),0,_xlfn.XLOOKUP($B28,'Liste des aliments'!$C$6:$C$282,'Liste des aliments'!$A$6:$A$282,0))</f>
        <v>0</v>
      </c>
      <c r="B85" s="463">
        <f t="shared" ref="B85:G90" si="20">B28</f>
        <v>0</v>
      </c>
      <c r="C85" s="464" t="str">
        <f t="shared" si="20"/>
        <v/>
      </c>
      <c r="D85" s="464">
        <f t="shared" si="20"/>
        <v>0</v>
      </c>
      <c r="E85" s="464">
        <f t="shared" si="20"/>
        <v>0</v>
      </c>
      <c r="F85" s="465" t="str">
        <f t="shared" si="20"/>
        <v xml:space="preserve"> </v>
      </c>
      <c r="G85" s="466" t="str">
        <f t="shared" si="20"/>
        <v xml:space="preserve"> </v>
      </c>
      <c r="H85" s="467" t="str">
        <f t="shared" ref="H85:W85" si="21">IF($B85&gt;0,(IF($C85="F",H28*$G28,(H28/($F28/100))*$G28))," ")</f>
        <v xml:space="preserve"> </v>
      </c>
      <c r="I85" s="467" t="str">
        <f t="shared" si="21"/>
        <v xml:space="preserve"> </v>
      </c>
      <c r="J85" s="467" t="str">
        <f t="shared" si="21"/>
        <v xml:space="preserve"> </v>
      </c>
      <c r="K85" s="466" t="str">
        <f t="shared" si="21"/>
        <v xml:space="preserve"> </v>
      </c>
      <c r="L85" s="467" t="str">
        <f t="shared" si="21"/>
        <v xml:space="preserve"> </v>
      </c>
      <c r="M85" s="467" t="str">
        <f t="shared" si="21"/>
        <v xml:space="preserve"> </v>
      </c>
      <c r="N85" s="467" t="str">
        <f t="shared" si="21"/>
        <v xml:space="preserve"> </v>
      </c>
      <c r="O85" s="467" t="str">
        <f t="shared" si="21"/>
        <v xml:space="preserve"> </v>
      </c>
      <c r="P85" s="467" t="str">
        <f t="shared" si="21"/>
        <v xml:space="preserve"> </v>
      </c>
      <c r="Q85" s="467" t="str">
        <f t="shared" si="21"/>
        <v xml:space="preserve"> </v>
      </c>
      <c r="R85" s="467" t="str">
        <f t="shared" si="21"/>
        <v xml:space="preserve"> </v>
      </c>
      <c r="S85" s="467" t="str">
        <f t="shared" si="21"/>
        <v xml:space="preserve"> </v>
      </c>
      <c r="T85" s="467" t="str">
        <f t="shared" si="21"/>
        <v xml:space="preserve"> </v>
      </c>
      <c r="U85" s="467" t="str">
        <f t="shared" si="21"/>
        <v xml:space="preserve"> </v>
      </c>
      <c r="V85" s="467" t="str">
        <f t="shared" si="21"/>
        <v xml:space="preserve"> </v>
      </c>
      <c r="W85" s="467" t="str">
        <f t="shared" si="21"/>
        <v xml:space="preserve"> </v>
      </c>
      <c r="Y85" s="615"/>
      <c r="Z85" s="615"/>
      <c r="AA85" s="615"/>
      <c r="AG85" s="311"/>
      <c r="AM85" s="459"/>
      <c r="AN85" s="760"/>
      <c r="AP85" s="459"/>
    </row>
    <row r="86" spans="1:42" s="295" customFormat="1">
      <c r="A86" s="463">
        <f>IF(ISBLANK($B29),0,_xlfn.XLOOKUP($B29,'Liste des aliments'!$C$6:$C$282,'Liste des aliments'!$A$6:$A$282,0))</f>
        <v>0</v>
      </c>
      <c r="B86" s="463">
        <f t="shared" si="20"/>
        <v>0</v>
      </c>
      <c r="C86" s="464" t="str">
        <f t="shared" si="20"/>
        <v/>
      </c>
      <c r="D86" s="464">
        <f t="shared" si="20"/>
        <v>0</v>
      </c>
      <c r="E86" s="464">
        <f t="shared" si="20"/>
        <v>0</v>
      </c>
      <c r="F86" s="465" t="str">
        <f t="shared" si="20"/>
        <v xml:space="preserve"> </v>
      </c>
      <c r="G86" s="466" t="str">
        <f t="shared" si="20"/>
        <v xml:space="preserve"> </v>
      </c>
      <c r="H86" s="467" t="str">
        <f t="shared" ref="H86:W86" si="22">IF($B86&gt;0,(IF($C86="F",H29*$G29,(H29/($F29/100))*$G29))," ")</f>
        <v xml:space="preserve"> </v>
      </c>
      <c r="I86" s="467" t="str">
        <f t="shared" si="22"/>
        <v xml:space="preserve"> </v>
      </c>
      <c r="J86" s="467" t="str">
        <f t="shared" si="22"/>
        <v xml:space="preserve"> </v>
      </c>
      <c r="K86" s="466" t="str">
        <f t="shared" si="22"/>
        <v xml:space="preserve"> </v>
      </c>
      <c r="L86" s="467" t="str">
        <f t="shared" si="22"/>
        <v xml:space="preserve"> </v>
      </c>
      <c r="M86" s="467" t="str">
        <f t="shared" si="22"/>
        <v xml:space="preserve"> </v>
      </c>
      <c r="N86" s="467" t="str">
        <f t="shared" si="22"/>
        <v xml:space="preserve"> </v>
      </c>
      <c r="O86" s="467" t="str">
        <f t="shared" si="22"/>
        <v xml:space="preserve"> </v>
      </c>
      <c r="P86" s="467" t="str">
        <f t="shared" si="22"/>
        <v xml:space="preserve"> </v>
      </c>
      <c r="Q86" s="467" t="str">
        <f t="shared" si="22"/>
        <v xml:space="preserve"> </v>
      </c>
      <c r="R86" s="467" t="str">
        <f t="shared" si="22"/>
        <v xml:space="preserve"> </v>
      </c>
      <c r="S86" s="467" t="str">
        <f t="shared" si="22"/>
        <v xml:space="preserve"> </v>
      </c>
      <c r="T86" s="467" t="str">
        <f t="shared" si="22"/>
        <v xml:space="preserve"> </v>
      </c>
      <c r="U86" s="467" t="str">
        <f t="shared" si="22"/>
        <v xml:space="preserve"> </v>
      </c>
      <c r="V86" s="467" t="str">
        <f t="shared" si="22"/>
        <v xml:space="preserve"> </v>
      </c>
      <c r="W86" s="467" t="str">
        <f t="shared" si="22"/>
        <v xml:space="preserve"> </v>
      </c>
      <c r="Y86" s="615"/>
      <c r="Z86" s="615"/>
      <c r="AA86" s="615"/>
      <c r="AG86" s="311"/>
      <c r="AM86" s="459"/>
      <c r="AN86" s="760"/>
      <c r="AP86" s="459"/>
    </row>
    <row r="87" spans="1:42" s="295" customFormat="1">
      <c r="A87" s="463">
        <f>IF(ISBLANK($B30),0,_xlfn.XLOOKUP($B30,'Liste des aliments'!$C$6:$C$282,'Liste des aliments'!$A$6:$A$282,0))</f>
        <v>0</v>
      </c>
      <c r="B87" s="463">
        <f t="shared" si="20"/>
        <v>0</v>
      </c>
      <c r="C87" s="464" t="str">
        <f t="shared" si="20"/>
        <v/>
      </c>
      <c r="D87" s="464">
        <f t="shared" si="20"/>
        <v>0</v>
      </c>
      <c r="E87" s="464">
        <f t="shared" si="20"/>
        <v>0</v>
      </c>
      <c r="F87" s="465" t="str">
        <f t="shared" si="20"/>
        <v xml:space="preserve"> </v>
      </c>
      <c r="G87" s="466" t="str">
        <f t="shared" si="20"/>
        <v xml:space="preserve"> </v>
      </c>
      <c r="H87" s="467" t="str">
        <f t="shared" ref="H87:W87" si="23">IF($B87&gt;0,(IF($C87="F",H30*$G30,(H30/($F30/100))*$G30))," ")</f>
        <v xml:space="preserve"> </v>
      </c>
      <c r="I87" s="467" t="str">
        <f t="shared" si="23"/>
        <v xml:space="preserve"> </v>
      </c>
      <c r="J87" s="467" t="str">
        <f t="shared" si="23"/>
        <v xml:space="preserve"> </v>
      </c>
      <c r="K87" s="466" t="str">
        <f t="shared" si="23"/>
        <v xml:space="preserve"> </v>
      </c>
      <c r="L87" s="467" t="str">
        <f t="shared" si="23"/>
        <v xml:space="preserve"> </v>
      </c>
      <c r="M87" s="467" t="str">
        <f t="shared" si="23"/>
        <v xml:space="preserve"> </v>
      </c>
      <c r="N87" s="467" t="str">
        <f t="shared" si="23"/>
        <v xml:space="preserve"> </v>
      </c>
      <c r="O87" s="467" t="str">
        <f t="shared" si="23"/>
        <v xml:space="preserve"> </v>
      </c>
      <c r="P87" s="467" t="str">
        <f t="shared" si="23"/>
        <v xml:space="preserve"> </v>
      </c>
      <c r="Q87" s="467" t="str">
        <f t="shared" si="23"/>
        <v xml:space="preserve"> </v>
      </c>
      <c r="R87" s="467" t="str">
        <f t="shared" si="23"/>
        <v xml:space="preserve"> </v>
      </c>
      <c r="S87" s="467" t="str">
        <f t="shared" si="23"/>
        <v xml:space="preserve"> </v>
      </c>
      <c r="T87" s="467" t="str">
        <f t="shared" si="23"/>
        <v xml:space="preserve"> </v>
      </c>
      <c r="U87" s="467" t="str">
        <f t="shared" si="23"/>
        <v xml:space="preserve"> </v>
      </c>
      <c r="V87" s="467" t="str">
        <f t="shared" si="23"/>
        <v xml:space="preserve"> </v>
      </c>
      <c r="W87" s="467" t="str">
        <f t="shared" si="23"/>
        <v xml:space="preserve"> </v>
      </c>
      <c r="Y87" s="615"/>
      <c r="Z87" s="615"/>
      <c r="AA87" s="615"/>
      <c r="AG87" s="311"/>
      <c r="AM87" s="459"/>
      <c r="AN87" s="760"/>
      <c r="AP87" s="459"/>
    </row>
    <row r="88" spans="1:42" s="295" customFormat="1">
      <c r="A88" s="463">
        <f>IF(ISBLANK($B31),0,_xlfn.XLOOKUP($B31,'Liste des aliments'!$C$6:$C$282,'Liste des aliments'!$A$6:$A$282,0))</f>
        <v>0</v>
      </c>
      <c r="B88" s="463">
        <f t="shared" si="20"/>
        <v>0</v>
      </c>
      <c r="C88" s="464" t="str">
        <f t="shared" si="20"/>
        <v/>
      </c>
      <c r="D88" s="464">
        <f t="shared" si="20"/>
        <v>0</v>
      </c>
      <c r="E88" s="464">
        <f t="shared" si="20"/>
        <v>0</v>
      </c>
      <c r="F88" s="465" t="str">
        <f t="shared" si="20"/>
        <v xml:space="preserve"> </v>
      </c>
      <c r="G88" s="466" t="str">
        <f t="shared" si="20"/>
        <v xml:space="preserve"> </v>
      </c>
      <c r="H88" s="467" t="str">
        <f t="shared" ref="H88:W88" si="24">IF($B88&gt;0,(IF($C88="F",H31*$G31,(H31/($F31/100))*$G31))," ")</f>
        <v xml:space="preserve"> </v>
      </c>
      <c r="I88" s="467" t="str">
        <f t="shared" si="24"/>
        <v xml:space="preserve"> </v>
      </c>
      <c r="J88" s="467" t="str">
        <f t="shared" si="24"/>
        <v xml:space="preserve"> </v>
      </c>
      <c r="K88" s="466" t="str">
        <f t="shared" si="24"/>
        <v xml:space="preserve"> </v>
      </c>
      <c r="L88" s="467" t="str">
        <f t="shared" si="24"/>
        <v xml:space="preserve"> </v>
      </c>
      <c r="M88" s="467" t="str">
        <f t="shared" si="24"/>
        <v xml:space="preserve"> </v>
      </c>
      <c r="N88" s="467" t="str">
        <f t="shared" si="24"/>
        <v xml:space="preserve"> </v>
      </c>
      <c r="O88" s="467" t="str">
        <f t="shared" si="24"/>
        <v xml:space="preserve"> </v>
      </c>
      <c r="P88" s="467" t="str">
        <f t="shared" si="24"/>
        <v xml:space="preserve"> </v>
      </c>
      <c r="Q88" s="467" t="str">
        <f t="shared" si="24"/>
        <v xml:space="preserve"> </v>
      </c>
      <c r="R88" s="467" t="str">
        <f t="shared" si="24"/>
        <v xml:space="preserve"> </v>
      </c>
      <c r="S88" s="467" t="str">
        <f t="shared" si="24"/>
        <v xml:space="preserve"> </v>
      </c>
      <c r="T88" s="467" t="str">
        <f t="shared" si="24"/>
        <v xml:space="preserve"> </v>
      </c>
      <c r="U88" s="467" t="str">
        <f t="shared" si="24"/>
        <v xml:space="preserve"> </v>
      </c>
      <c r="V88" s="467" t="str">
        <f t="shared" si="24"/>
        <v xml:space="preserve"> </v>
      </c>
      <c r="W88" s="467" t="str">
        <f t="shared" si="24"/>
        <v xml:space="preserve"> </v>
      </c>
      <c r="Y88" s="615"/>
      <c r="Z88" s="615"/>
      <c r="AA88" s="615"/>
      <c r="AG88" s="311"/>
      <c r="AM88" s="459"/>
      <c r="AN88" s="760"/>
      <c r="AP88" s="459"/>
    </row>
    <row r="89" spans="1:42" s="295" customFormat="1">
      <c r="A89" s="463">
        <f>IF(ISBLANK($B32),0,_xlfn.XLOOKUP($B32,'Liste des aliments'!$C$6:$C$282,'Liste des aliments'!$A$6:$A$282,0))</f>
        <v>0</v>
      </c>
      <c r="B89" s="463">
        <f t="shared" si="20"/>
        <v>0</v>
      </c>
      <c r="C89" s="464" t="str">
        <f t="shared" si="20"/>
        <v/>
      </c>
      <c r="D89" s="464">
        <f t="shared" si="20"/>
        <v>0</v>
      </c>
      <c r="E89" s="464">
        <f t="shared" si="20"/>
        <v>0</v>
      </c>
      <c r="F89" s="465" t="str">
        <f t="shared" si="20"/>
        <v xml:space="preserve"> </v>
      </c>
      <c r="G89" s="466" t="str">
        <f t="shared" si="20"/>
        <v xml:space="preserve"> </v>
      </c>
      <c r="H89" s="467" t="str">
        <f t="shared" ref="H89:W89" si="25">IF($B89&gt;0,(IF($C89="F",H32*$G32,(H32/($F32/100))*$G32))," ")</f>
        <v xml:space="preserve"> </v>
      </c>
      <c r="I89" s="467" t="str">
        <f t="shared" si="25"/>
        <v xml:space="preserve"> </v>
      </c>
      <c r="J89" s="467" t="str">
        <f t="shared" si="25"/>
        <v xml:space="preserve"> </v>
      </c>
      <c r="K89" s="466" t="str">
        <f t="shared" si="25"/>
        <v xml:space="preserve"> </v>
      </c>
      <c r="L89" s="467" t="str">
        <f t="shared" si="25"/>
        <v xml:space="preserve"> </v>
      </c>
      <c r="M89" s="467" t="str">
        <f t="shared" si="25"/>
        <v xml:space="preserve"> </v>
      </c>
      <c r="N89" s="467" t="str">
        <f t="shared" si="25"/>
        <v xml:space="preserve"> </v>
      </c>
      <c r="O89" s="467" t="str">
        <f t="shared" si="25"/>
        <v xml:space="preserve"> </v>
      </c>
      <c r="P89" s="467" t="str">
        <f t="shared" si="25"/>
        <v xml:space="preserve"> </v>
      </c>
      <c r="Q89" s="467" t="str">
        <f t="shared" si="25"/>
        <v xml:space="preserve"> </v>
      </c>
      <c r="R89" s="467" t="str">
        <f t="shared" si="25"/>
        <v xml:space="preserve"> </v>
      </c>
      <c r="S89" s="467" t="str">
        <f t="shared" si="25"/>
        <v xml:space="preserve"> </v>
      </c>
      <c r="T89" s="467" t="str">
        <f t="shared" si="25"/>
        <v xml:space="preserve"> </v>
      </c>
      <c r="U89" s="467" t="str">
        <f t="shared" si="25"/>
        <v xml:space="preserve"> </v>
      </c>
      <c r="V89" s="467" t="str">
        <f t="shared" si="25"/>
        <v xml:space="preserve"> </v>
      </c>
      <c r="W89" s="467" t="str">
        <f t="shared" si="25"/>
        <v xml:space="preserve"> </v>
      </c>
      <c r="Y89" s="615"/>
      <c r="Z89" s="615"/>
      <c r="AA89" s="615"/>
      <c r="AG89" s="311"/>
      <c r="AM89" s="459"/>
      <c r="AN89" s="760"/>
      <c r="AP89" s="459"/>
    </row>
    <row r="90" spans="1:42" s="295" customFormat="1">
      <c r="A90" s="463">
        <f>IF(ISBLANK($B33),0,_xlfn.XLOOKUP($B33,'Liste des aliments'!$C$6:$C$282,'Liste des aliments'!$A$6:$A$282,0))</f>
        <v>0</v>
      </c>
      <c r="B90" s="463">
        <f t="shared" si="20"/>
        <v>0</v>
      </c>
      <c r="C90" s="464" t="str">
        <f t="shared" si="20"/>
        <v/>
      </c>
      <c r="D90" s="464">
        <f t="shared" si="20"/>
        <v>0</v>
      </c>
      <c r="E90" s="464">
        <f t="shared" si="20"/>
        <v>0</v>
      </c>
      <c r="F90" s="465" t="str">
        <f t="shared" si="20"/>
        <v xml:space="preserve"> </v>
      </c>
      <c r="G90" s="466" t="str">
        <f t="shared" si="20"/>
        <v xml:space="preserve"> </v>
      </c>
      <c r="H90" s="467" t="str">
        <f t="shared" ref="H90:W90" si="26">IF($B90&gt;0,(IF($C90="F",H33*$G33,(H33/($F33/100))*$G33))," ")</f>
        <v xml:space="preserve"> </v>
      </c>
      <c r="I90" s="467" t="str">
        <f t="shared" si="26"/>
        <v xml:space="preserve"> </v>
      </c>
      <c r="J90" s="467" t="str">
        <f t="shared" si="26"/>
        <v xml:space="preserve"> </v>
      </c>
      <c r="K90" s="466" t="str">
        <f t="shared" si="26"/>
        <v xml:space="preserve"> </v>
      </c>
      <c r="L90" s="467" t="str">
        <f t="shared" si="26"/>
        <v xml:space="preserve"> </v>
      </c>
      <c r="M90" s="467" t="str">
        <f t="shared" si="26"/>
        <v xml:space="preserve"> </v>
      </c>
      <c r="N90" s="467" t="str">
        <f t="shared" si="26"/>
        <v xml:space="preserve"> </v>
      </c>
      <c r="O90" s="467" t="str">
        <f t="shared" si="26"/>
        <v xml:space="preserve"> </v>
      </c>
      <c r="P90" s="467" t="str">
        <f t="shared" si="26"/>
        <v xml:space="preserve"> </v>
      </c>
      <c r="Q90" s="467" t="str">
        <f t="shared" si="26"/>
        <v xml:space="preserve"> </v>
      </c>
      <c r="R90" s="467" t="str">
        <f t="shared" si="26"/>
        <v xml:space="preserve"> </v>
      </c>
      <c r="S90" s="467" t="str">
        <f t="shared" si="26"/>
        <v xml:space="preserve"> </v>
      </c>
      <c r="T90" s="467" t="str">
        <f t="shared" si="26"/>
        <v xml:space="preserve"> </v>
      </c>
      <c r="U90" s="467" t="str">
        <f t="shared" si="26"/>
        <v xml:space="preserve"> </v>
      </c>
      <c r="V90" s="467" t="str">
        <f t="shared" si="26"/>
        <v xml:space="preserve"> </v>
      </c>
      <c r="W90" s="467" t="str">
        <f t="shared" si="26"/>
        <v xml:space="preserve"> </v>
      </c>
      <c r="Y90" s="615"/>
      <c r="Z90" s="615"/>
      <c r="AA90" s="615"/>
      <c r="AG90" s="311"/>
      <c r="AM90" s="459"/>
      <c r="AN90" s="760"/>
      <c r="AP90" s="459"/>
    </row>
    <row r="91" spans="1:42" s="295" customFormat="1">
      <c r="A91" s="463"/>
      <c r="B91" s="463"/>
      <c r="C91" s="463"/>
      <c r="D91" s="468">
        <f>SUM(D75:D90)</f>
        <v>0</v>
      </c>
      <c r="E91" s="469" t="e">
        <f>G91/D91</f>
        <v>#DIV/0!</v>
      </c>
      <c r="F91" s="463"/>
      <c r="G91" s="468">
        <f t="shared" ref="G91:W91" si="27">SUM(G75:G90)</f>
        <v>0</v>
      </c>
      <c r="H91" s="470">
        <f>SUM(H75:H90)</f>
        <v>0</v>
      </c>
      <c r="I91" s="470">
        <f>SUM(I75:I90)</f>
        <v>0</v>
      </c>
      <c r="J91" s="470">
        <f t="shared" si="27"/>
        <v>0</v>
      </c>
      <c r="K91" s="471">
        <f t="shared" si="27"/>
        <v>0</v>
      </c>
      <c r="L91" s="470">
        <f t="shared" si="27"/>
        <v>0</v>
      </c>
      <c r="M91" s="470">
        <f t="shared" si="27"/>
        <v>0</v>
      </c>
      <c r="N91" s="470">
        <f t="shared" si="27"/>
        <v>0</v>
      </c>
      <c r="O91" s="468">
        <f t="shared" si="27"/>
        <v>0</v>
      </c>
      <c r="P91" s="468">
        <f t="shared" si="27"/>
        <v>0</v>
      </c>
      <c r="Q91" s="470">
        <f t="shared" si="27"/>
        <v>0</v>
      </c>
      <c r="R91" s="470">
        <f t="shared" si="27"/>
        <v>0</v>
      </c>
      <c r="S91" s="470">
        <f t="shared" si="27"/>
        <v>0</v>
      </c>
      <c r="T91" s="470">
        <f t="shared" si="27"/>
        <v>0</v>
      </c>
      <c r="U91" s="470">
        <f t="shared" si="27"/>
        <v>0</v>
      </c>
      <c r="V91" s="470">
        <f t="shared" si="27"/>
        <v>0</v>
      </c>
      <c r="W91" s="471">
        <f t="shared" si="27"/>
        <v>0</v>
      </c>
      <c r="Y91" s="615"/>
      <c r="Z91" s="615"/>
      <c r="AA91" s="615"/>
      <c r="AG91" s="311"/>
      <c r="AM91" s="459"/>
      <c r="AN91" s="760"/>
      <c r="AP91" s="459"/>
    </row>
    <row r="92" spans="1:42">
      <c r="H92" s="147" t="str">
        <f>IF(A92&gt;0,(IF($C$75="F",H35*$G$18,(H35/($F$18/100))*$G$18))," ")</f>
        <v xml:space="preserve"> </v>
      </c>
      <c r="AG92" s="311"/>
      <c r="AM92" s="459"/>
      <c r="AN92" s="760"/>
      <c r="AO92" s="109"/>
      <c r="AP92" s="161"/>
    </row>
    <row r="93" spans="1:42">
      <c r="AG93" s="311"/>
      <c r="AM93" s="459"/>
      <c r="AN93" s="760"/>
      <c r="AO93" s="109"/>
      <c r="AP93" s="161"/>
    </row>
    <row r="94" spans="1:42">
      <c r="AG94" s="311"/>
      <c r="AM94" s="459"/>
      <c r="AN94" s="760"/>
      <c r="AO94" s="109"/>
      <c r="AP94" s="161"/>
    </row>
    <row r="95" spans="1:42">
      <c r="AG95" s="311"/>
      <c r="AM95" s="459"/>
      <c r="AN95" s="760"/>
      <c r="AO95" s="109"/>
      <c r="AP95" s="161"/>
    </row>
    <row r="96" spans="1:42">
      <c r="AG96" s="311"/>
      <c r="AM96" s="459"/>
      <c r="AN96" s="760"/>
      <c r="AP96" s="161"/>
    </row>
    <row r="97" spans="33:42">
      <c r="AG97" s="311"/>
      <c r="AM97" s="459"/>
      <c r="AN97" s="760"/>
      <c r="AP97" s="161"/>
    </row>
    <row r="98" spans="33:42">
      <c r="AG98" s="311"/>
      <c r="AM98" s="459"/>
      <c r="AN98" s="760"/>
      <c r="AP98" s="161"/>
    </row>
    <row r="99" spans="33:42">
      <c r="AG99" s="311"/>
      <c r="AM99" s="459"/>
      <c r="AN99" s="760"/>
      <c r="AP99" s="161"/>
    </row>
    <row r="100" spans="33:42">
      <c r="AG100" s="311"/>
      <c r="AM100" s="459"/>
      <c r="AN100" s="760"/>
      <c r="AP100" s="161"/>
    </row>
    <row r="101" spans="33:42">
      <c r="AG101" s="311"/>
      <c r="AM101" s="459"/>
      <c r="AN101" s="760"/>
      <c r="AP101" s="161"/>
    </row>
    <row r="102" spans="33:42">
      <c r="AG102" s="311"/>
      <c r="AM102" s="459"/>
      <c r="AN102" s="760"/>
      <c r="AP102" s="161"/>
    </row>
    <row r="103" spans="33:42">
      <c r="AG103" s="311"/>
      <c r="AM103" s="459"/>
      <c r="AN103" s="760"/>
      <c r="AP103" s="161"/>
    </row>
    <row r="104" spans="33:42">
      <c r="AG104" s="311"/>
      <c r="AM104" s="459"/>
      <c r="AN104" s="760"/>
      <c r="AP104" s="161"/>
    </row>
    <row r="105" spans="33:42">
      <c r="AG105" s="311"/>
      <c r="AM105" s="459"/>
      <c r="AN105" s="760"/>
      <c r="AP105" s="161"/>
    </row>
    <row r="106" spans="33:42">
      <c r="AG106" s="311"/>
      <c r="AM106" s="459"/>
      <c r="AN106" s="760"/>
      <c r="AP106" s="161"/>
    </row>
    <row r="107" spans="33:42">
      <c r="AG107" s="311"/>
      <c r="AM107" s="459"/>
      <c r="AN107" s="760"/>
      <c r="AP107" s="161"/>
    </row>
    <row r="108" spans="33:42">
      <c r="AG108" s="311"/>
      <c r="AM108" s="459"/>
      <c r="AN108" s="760"/>
      <c r="AP108" s="161"/>
    </row>
    <row r="109" spans="33:42">
      <c r="AG109" s="311"/>
      <c r="AM109" s="459"/>
      <c r="AN109" s="760"/>
      <c r="AP109" s="161"/>
    </row>
    <row r="110" spans="33:42">
      <c r="AG110" s="311"/>
      <c r="AM110" s="459"/>
      <c r="AN110" s="760"/>
      <c r="AP110" s="161"/>
    </row>
    <row r="111" spans="33:42">
      <c r="AG111" s="311"/>
      <c r="AM111" s="459"/>
      <c r="AN111" s="760"/>
      <c r="AP111" s="161"/>
    </row>
    <row r="112" spans="33:42">
      <c r="AG112" s="311"/>
      <c r="AM112" s="459"/>
      <c r="AN112" s="760"/>
      <c r="AP112" s="161"/>
    </row>
    <row r="113" spans="33:42">
      <c r="AG113" s="311"/>
      <c r="AM113" s="459"/>
      <c r="AN113" s="760"/>
      <c r="AP113" s="161"/>
    </row>
    <row r="114" spans="33:42">
      <c r="AG114" s="311"/>
      <c r="AM114" s="459"/>
      <c r="AN114" s="760"/>
      <c r="AP114" s="161"/>
    </row>
    <row r="115" spans="33:42">
      <c r="AG115" s="311"/>
      <c r="AM115" s="459"/>
      <c r="AN115" s="760"/>
      <c r="AP115" s="161"/>
    </row>
    <row r="116" spans="33:42">
      <c r="AG116" s="311"/>
      <c r="AM116" s="459"/>
      <c r="AN116" s="760"/>
      <c r="AP116" s="161"/>
    </row>
    <row r="117" spans="33:42">
      <c r="AG117" s="311"/>
      <c r="AM117" s="459"/>
      <c r="AN117" s="760"/>
      <c r="AP117" s="161"/>
    </row>
    <row r="118" spans="33:42">
      <c r="AG118" s="311"/>
      <c r="AM118" s="459"/>
      <c r="AN118" s="760"/>
      <c r="AP118" s="161"/>
    </row>
    <row r="119" spans="33:42">
      <c r="AG119" s="311"/>
      <c r="AM119" s="459"/>
      <c r="AN119" s="760"/>
      <c r="AP119" s="161"/>
    </row>
    <row r="120" spans="33:42">
      <c r="AG120" s="311"/>
      <c r="AM120" s="459"/>
      <c r="AN120" s="760"/>
      <c r="AP120" s="161"/>
    </row>
    <row r="121" spans="33:42">
      <c r="AG121" s="311"/>
      <c r="AM121" s="459"/>
      <c r="AN121" s="760"/>
      <c r="AP121" s="161"/>
    </row>
    <row r="122" spans="33:42">
      <c r="AG122" s="311"/>
      <c r="AM122" s="459"/>
      <c r="AN122" s="760"/>
      <c r="AP122" s="161"/>
    </row>
    <row r="123" spans="33:42">
      <c r="AG123" s="311"/>
      <c r="AM123" s="459"/>
      <c r="AN123" s="760"/>
      <c r="AP123" s="161"/>
    </row>
    <row r="124" spans="33:42">
      <c r="AG124" s="311"/>
      <c r="AM124" s="459"/>
      <c r="AN124" s="760"/>
      <c r="AP124" s="161"/>
    </row>
    <row r="125" spans="33:42">
      <c r="AG125" s="311"/>
      <c r="AM125" s="459"/>
      <c r="AN125" s="760"/>
      <c r="AP125" s="161"/>
    </row>
    <row r="126" spans="33:42">
      <c r="AG126" s="311"/>
      <c r="AM126" s="459"/>
      <c r="AN126" s="760"/>
      <c r="AP126" s="161"/>
    </row>
    <row r="127" spans="33:42">
      <c r="AG127" s="311"/>
      <c r="AM127" s="459"/>
      <c r="AN127" s="760"/>
      <c r="AP127" s="161"/>
    </row>
    <row r="128" spans="33:42">
      <c r="AG128" s="311"/>
      <c r="AM128" s="459"/>
      <c r="AN128" s="760"/>
      <c r="AP128" s="161"/>
    </row>
    <row r="129" spans="33:42">
      <c r="AG129" s="311"/>
      <c r="AM129" s="459"/>
      <c r="AN129" s="760"/>
      <c r="AP129" s="161"/>
    </row>
    <row r="130" spans="33:42">
      <c r="AG130" s="311"/>
      <c r="AM130" s="459"/>
      <c r="AN130" s="760"/>
      <c r="AP130" s="161"/>
    </row>
    <row r="131" spans="33:42">
      <c r="AG131" s="311"/>
      <c r="AM131" s="459"/>
      <c r="AN131" s="760"/>
      <c r="AP131" s="161"/>
    </row>
    <row r="132" spans="33:42">
      <c r="AG132" s="311"/>
      <c r="AM132" s="459"/>
      <c r="AN132" s="760"/>
      <c r="AP132" s="161"/>
    </row>
    <row r="133" spans="33:42">
      <c r="AG133" s="311"/>
      <c r="AM133" s="459"/>
      <c r="AN133" s="760"/>
      <c r="AP133" s="161"/>
    </row>
    <row r="134" spans="33:42">
      <c r="AG134" s="311"/>
      <c r="AM134" s="459"/>
      <c r="AN134" s="760"/>
      <c r="AP134" s="161"/>
    </row>
    <row r="135" spans="33:42">
      <c r="AG135" s="311"/>
      <c r="AM135" s="459"/>
      <c r="AN135" s="760"/>
      <c r="AP135" s="161"/>
    </row>
    <row r="136" spans="33:42">
      <c r="AG136" s="311"/>
      <c r="AM136" s="459"/>
      <c r="AN136" s="760"/>
      <c r="AP136" s="161"/>
    </row>
    <row r="137" spans="33:42">
      <c r="AG137" s="311"/>
      <c r="AM137" s="459"/>
      <c r="AN137" s="760"/>
      <c r="AP137" s="161"/>
    </row>
    <row r="138" spans="33:42">
      <c r="AG138" s="311"/>
      <c r="AM138" s="459"/>
      <c r="AN138" s="760"/>
      <c r="AP138" s="161"/>
    </row>
    <row r="139" spans="33:42">
      <c r="AG139" s="311"/>
      <c r="AM139" s="459"/>
      <c r="AN139" s="760"/>
      <c r="AP139" s="161"/>
    </row>
    <row r="140" spans="33:42">
      <c r="AG140" s="311"/>
      <c r="AM140" s="459"/>
      <c r="AN140" s="760"/>
      <c r="AP140" s="161"/>
    </row>
    <row r="141" spans="33:42">
      <c r="AG141" s="311"/>
      <c r="AM141" s="459"/>
      <c r="AN141" s="760"/>
      <c r="AP141" s="161"/>
    </row>
    <row r="142" spans="33:42">
      <c r="AG142" s="311"/>
      <c r="AM142" s="459"/>
      <c r="AN142" s="760"/>
      <c r="AP142" s="161"/>
    </row>
    <row r="143" spans="33:42">
      <c r="AG143" s="311"/>
      <c r="AM143" s="459"/>
      <c r="AN143" s="760"/>
      <c r="AP143" s="161"/>
    </row>
    <row r="144" spans="33:42">
      <c r="AG144" s="311"/>
      <c r="AM144" s="459"/>
      <c r="AN144" s="760"/>
      <c r="AP144" s="161"/>
    </row>
    <row r="145" spans="33:42">
      <c r="AG145" s="311"/>
      <c r="AM145" s="459"/>
      <c r="AN145" s="760"/>
      <c r="AP145" s="161"/>
    </row>
    <row r="146" spans="33:42">
      <c r="AG146" s="311"/>
      <c r="AM146" s="459"/>
      <c r="AN146" s="760"/>
      <c r="AP146" s="161"/>
    </row>
    <row r="147" spans="33:42">
      <c r="AG147" s="311"/>
      <c r="AM147" s="459"/>
      <c r="AN147" s="760"/>
      <c r="AP147" s="161"/>
    </row>
    <row r="148" spans="33:42">
      <c r="AG148" s="311"/>
      <c r="AM148" s="459"/>
      <c r="AN148" s="760"/>
      <c r="AP148" s="161"/>
    </row>
    <row r="149" spans="33:42">
      <c r="AG149" s="311"/>
      <c r="AM149" s="459"/>
      <c r="AN149" s="760"/>
      <c r="AP149" s="161"/>
    </row>
    <row r="150" spans="33:42">
      <c r="AG150" s="311"/>
      <c r="AM150" s="459"/>
      <c r="AN150" s="760"/>
      <c r="AP150" s="161"/>
    </row>
    <row r="151" spans="33:42">
      <c r="AG151" s="311"/>
      <c r="AM151" s="459"/>
      <c r="AN151" s="760"/>
      <c r="AP151" s="161"/>
    </row>
    <row r="152" spans="33:42">
      <c r="AG152" s="311"/>
      <c r="AM152" s="459"/>
      <c r="AN152" s="760"/>
      <c r="AP152" s="161"/>
    </row>
    <row r="153" spans="33:42">
      <c r="AG153" s="311"/>
      <c r="AM153" s="459"/>
      <c r="AN153" s="760"/>
      <c r="AP153" s="161"/>
    </row>
    <row r="154" spans="33:42">
      <c r="AG154" s="311"/>
      <c r="AM154" s="459"/>
      <c r="AN154" s="760"/>
      <c r="AP154" s="161"/>
    </row>
    <row r="155" spans="33:42">
      <c r="AG155" s="311"/>
      <c r="AM155" s="459"/>
      <c r="AN155" s="760"/>
      <c r="AP155" s="161"/>
    </row>
    <row r="156" spans="33:42">
      <c r="AG156" s="311"/>
      <c r="AM156" s="459"/>
      <c r="AN156" s="760"/>
      <c r="AP156" s="161"/>
    </row>
    <row r="157" spans="33:42">
      <c r="AG157" s="311"/>
      <c r="AM157" s="459"/>
      <c r="AN157" s="760"/>
      <c r="AP157" s="161"/>
    </row>
    <row r="158" spans="33:42">
      <c r="AG158" s="311"/>
      <c r="AM158" s="459"/>
      <c r="AN158" s="760"/>
      <c r="AP158" s="161"/>
    </row>
    <row r="159" spans="33:42">
      <c r="AG159" s="311"/>
      <c r="AM159" s="459"/>
      <c r="AN159" s="760"/>
      <c r="AP159" s="161"/>
    </row>
    <row r="160" spans="33:42">
      <c r="AG160" s="311"/>
      <c r="AM160" s="459"/>
      <c r="AN160" s="760"/>
      <c r="AP160" s="161"/>
    </row>
    <row r="161" spans="33:42">
      <c r="AG161" s="311"/>
      <c r="AM161" s="459"/>
      <c r="AN161" s="760"/>
      <c r="AP161" s="161"/>
    </row>
    <row r="162" spans="33:42">
      <c r="AG162" s="311"/>
      <c r="AM162" s="459"/>
      <c r="AN162" s="760"/>
      <c r="AP162" s="161"/>
    </row>
    <row r="163" spans="33:42">
      <c r="AG163" s="311"/>
      <c r="AM163" s="459"/>
      <c r="AN163" s="760"/>
      <c r="AP163" s="161"/>
    </row>
    <row r="164" spans="33:42">
      <c r="AG164" s="311"/>
      <c r="AM164" s="459"/>
      <c r="AN164" s="760"/>
      <c r="AP164" s="161"/>
    </row>
    <row r="165" spans="33:42">
      <c r="AG165" s="311"/>
      <c r="AM165" s="459"/>
      <c r="AN165" s="760"/>
      <c r="AP165" s="161"/>
    </row>
    <row r="166" spans="33:42">
      <c r="AG166" s="311"/>
      <c r="AM166" s="459"/>
      <c r="AN166" s="760"/>
      <c r="AP166" s="161"/>
    </row>
    <row r="167" spans="33:42">
      <c r="AG167" s="311"/>
      <c r="AM167" s="459"/>
      <c r="AN167" s="760"/>
      <c r="AP167" s="161"/>
    </row>
    <row r="168" spans="33:42">
      <c r="AG168" s="311"/>
      <c r="AM168" s="459"/>
      <c r="AN168" s="760"/>
      <c r="AP168" s="161"/>
    </row>
    <row r="169" spans="33:42">
      <c r="AG169" s="311"/>
      <c r="AM169" s="459"/>
      <c r="AN169" s="760"/>
    </row>
  </sheetData>
  <sheetProtection algorithmName="SHA-512" hashValue="EEzrbtpA5kREmlVx/Ffgz7H+oncNY1dj4py8T92SnrBHfpudIAZJ0VhyvXgyP2FbWR+Z4wBHvqaWmFdotM9/+w==" saltValue="/t6S6ojepIkBXsmjfNFq5g==" spinCount="100000" sheet="1" objects="1" scenarios="1"/>
  <mergeCells count="7">
    <mergeCell ref="A1:W1"/>
    <mergeCell ref="B42:C42"/>
    <mergeCell ref="R35:U35"/>
    <mergeCell ref="C3:G3"/>
    <mergeCell ref="Q3:W3"/>
    <mergeCell ref="C4:G4"/>
    <mergeCell ref="C5:G5"/>
  </mergeCells>
  <phoneticPr fontId="41" type="noConversion"/>
  <conditionalFormatting sqref="G39:I39 K39:M39 O39:P39">
    <cfRule type="expression" dxfId="73" priority="3">
      <formula>G$39&gt;0.98</formula>
    </cfRule>
    <cfRule type="expression" dxfId="72" priority="4">
      <formula>G$39&lt;0.94</formula>
    </cfRule>
  </conditionalFormatting>
  <conditionalFormatting sqref="M5">
    <cfRule type="expression" dxfId="71" priority="2">
      <formula>$M$5&lt;-8</formula>
    </cfRule>
  </conditionalFormatting>
  <conditionalFormatting sqref="M6">
    <cfRule type="expression" dxfId="70" priority="1">
      <formula>$M$6&gt;105</formula>
    </cfRule>
  </conditionalFormatting>
  <conditionalFormatting sqref="R37">
    <cfRule type="expression" dxfId="69" priority="11">
      <formula>$R$40&lt;$R$43</formula>
    </cfRule>
    <cfRule type="expression" dxfId="68" priority="12">
      <formula>$R$40&gt;$R$44</formula>
    </cfRule>
  </conditionalFormatting>
  <conditionalFormatting sqref="R38">
    <cfRule type="expression" dxfId="67" priority="9">
      <formula>$R$38&lt;$R$41</formula>
    </cfRule>
    <cfRule type="expression" dxfId="66" priority="10">
      <formula>$R$38&gt;$R$42</formula>
    </cfRule>
  </conditionalFormatting>
  <conditionalFormatting sqref="S37">
    <cfRule type="expression" dxfId="65" priority="13">
      <formula>$S$40&lt;$S$43</formula>
    </cfRule>
  </conditionalFormatting>
  <conditionalFormatting sqref="S38">
    <cfRule type="expression" dxfId="64" priority="8">
      <formula>$S$38&lt;$S$41</formula>
    </cfRule>
  </conditionalFormatting>
  <conditionalFormatting sqref="T37">
    <cfRule type="expression" dxfId="63" priority="14">
      <formula>$T$40&lt;$T$43</formula>
    </cfRule>
  </conditionalFormatting>
  <conditionalFormatting sqref="T38">
    <cfRule type="expression" dxfId="62" priority="7">
      <formula>$T$38&lt;$T$41</formula>
    </cfRule>
  </conditionalFormatting>
  <conditionalFormatting sqref="U37">
    <cfRule type="expression" dxfId="61" priority="15">
      <formula>$U$40&lt;$U$43</formula>
    </cfRule>
  </conditionalFormatting>
  <conditionalFormatting sqref="U38">
    <cfRule type="expression" dxfId="60" priority="6">
      <formula>$U$38&lt;$U$41</formula>
    </cfRule>
  </conditionalFormatting>
  <conditionalFormatting sqref="V37">
    <cfRule type="expression" dxfId="59" priority="16">
      <formula>$V$40&gt;$V$44</formula>
    </cfRule>
  </conditionalFormatting>
  <conditionalFormatting sqref="V38">
    <cfRule type="expression" dxfId="58" priority="5">
      <formula>$V$38&gt;$V$42</formula>
    </cfRule>
  </conditionalFormatting>
  <dataValidations count="1">
    <dataValidation type="list" allowBlank="1" showInputMessage="1" showErrorMessage="1" sqref="D9" xr:uid="{7CEDE242-7AFF-4C7B-A0F2-D84F99993F87}">
      <formula1>$AD$18:$AD$26</formula1>
    </dataValidation>
  </dataValidations>
  <pageMargins left="0.7" right="0.7" top="0.75" bottom="0.75" header="0.3" footer="0.3"/>
  <pageSetup paperSize="9"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EB028FE-B38B-4898-B4B8-467660DCDB3C}">
          <x14:formula1>
            <xm:f>'Liste des aliments'!$C$6:$C$966</xm:f>
          </x14:formula1>
          <xm:sqref>B18:B33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2231f34-07b6-4740-9837-f4f79049eed7">
      <Terms xmlns="http://schemas.microsoft.com/office/infopath/2007/PartnerControls"/>
    </lcf76f155ced4ddcb4097134ff3c332f>
    <TaxCatchAll xmlns="2da01d78-d298-432c-a082-ef6bf9523aa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95AAFA42327C64494D7FD2E355A1BF5" ma:contentTypeVersion="19" ma:contentTypeDescription="Crée un document." ma:contentTypeScope="" ma:versionID="807fc22c5ca1c56e240303bfe7a2c9df">
  <xsd:schema xmlns:xsd="http://www.w3.org/2001/XMLSchema" xmlns:xs="http://www.w3.org/2001/XMLSchema" xmlns:p="http://schemas.microsoft.com/office/2006/metadata/properties" xmlns:ns2="a2231f34-07b6-4740-9837-f4f79049eed7" xmlns:ns3="2da01d78-d298-432c-a082-ef6bf9523aa8" targetNamespace="http://schemas.microsoft.com/office/2006/metadata/properties" ma:root="true" ma:fieldsID="7bcea3410382a42d9de73607a17f319b" ns2:_="" ns3:_="">
    <xsd:import namespace="a2231f34-07b6-4740-9837-f4f79049eed7"/>
    <xsd:import namespace="2da01d78-d298-432c-a082-ef6bf9523aa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231f34-07b6-4740-9837-f4f79049ee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653116b0-1519-4add-b875-27c2b392037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da01d78-d298-432c-a082-ef6bf9523aa8" elementFormDefault="qualified">
    <xsd:import namespace="http://schemas.microsoft.com/office/2006/documentManagement/types"/>
    <xsd:import namespace="http://schemas.microsoft.com/office/infopath/2007/PartnerControls"/>
    <xsd:element name="SharedWithUsers" ma:index="14"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5c62f0d5-b868-4bab-9f16-4286a868f5c6}" ma:internalName="TaxCatchAll" ma:showField="CatchAllData" ma:web="2da01d78-d298-432c-a082-ef6bf9523aa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5F3AE76-A214-4F62-AF06-8C72856C7928}">
  <ds:schemaRefs>
    <ds:schemaRef ds:uri="http://schemas.microsoft.com/office/2006/metadata/properties"/>
    <ds:schemaRef ds:uri="http://schemas.microsoft.com/office/infopath/2007/PartnerControls"/>
    <ds:schemaRef ds:uri="a2231f34-07b6-4740-9837-f4f79049eed7"/>
    <ds:schemaRef ds:uri="2da01d78-d298-432c-a082-ef6bf9523aa8"/>
  </ds:schemaRefs>
</ds:datastoreItem>
</file>

<file path=customXml/itemProps2.xml><?xml version="1.0" encoding="utf-8"?>
<ds:datastoreItem xmlns:ds="http://schemas.openxmlformats.org/officeDocument/2006/customXml" ds:itemID="{0D8944EE-C87A-460C-8363-EA185FBC3B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231f34-07b6-4740-9837-f4f79049eed7"/>
    <ds:schemaRef ds:uri="2da01d78-d298-432c-a082-ef6bf9523a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6AD760-7871-401E-A406-DB9266CDC5E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19</vt:i4>
      </vt:variant>
      <vt:variant>
        <vt:lpstr>Plages nommées</vt:lpstr>
      </vt:variant>
      <vt:variant>
        <vt:i4>22</vt:i4>
      </vt:variant>
    </vt:vector>
  </HeadingPairs>
  <TitlesOfParts>
    <vt:vector size="41" baseType="lpstr">
      <vt:lpstr>Introduction &amp; mode d'emploi</vt:lpstr>
      <vt:lpstr>Liste des aliments</vt:lpstr>
      <vt:lpstr>   VL   </vt:lpstr>
      <vt:lpstr>VL_P</vt:lpstr>
      <vt:lpstr>   VT   </vt:lpstr>
      <vt:lpstr>VT_P</vt:lpstr>
      <vt:lpstr>   GL   </vt:lpstr>
      <vt:lpstr>GL_P</vt:lpstr>
      <vt:lpstr>   TA   </vt:lpstr>
      <vt:lpstr>TA_P</vt:lpstr>
      <vt:lpstr>   VA   </vt:lpstr>
      <vt:lpstr>VA_P</vt:lpstr>
      <vt:lpstr>   GR   </vt:lpstr>
      <vt:lpstr>GR_P</vt:lpstr>
      <vt:lpstr>   VR   </vt:lpstr>
      <vt:lpstr>VR_P</vt:lpstr>
      <vt:lpstr>   BA   </vt:lpstr>
      <vt:lpstr>BA_P</vt:lpstr>
      <vt:lpstr> AUTRE</vt:lpstr>
      <vt:lpstr>' AUTRE'!a</vt:lpstr>
      <vt:lpstr>a</vt:lpstr>
      <vt:lpstr>' AUTRE'!b</vt:lpstr>
      <vt:lpstr>b</vt:lpstr>
      <vt:lpstr>' AUTRE'!c_</vt:lpstr>
      <vt:lpstr>c_</vt:lpstr>
      <vt:lpstr>' AUTRE'!d</vt:lpstr>
      <vt:lpstr>d</vt:lpstr>
      <vt:lpstr>' AUTRE'!e</vt:lpstr>
      <vt:lpstr>e</vt:lpstr>
      <vt:lpstr>' AUTRE'!f</vt:lpstr>
      <vt:lpstr>f</vt:lpstr>
      <vt:lpstr>' AUTRE'!g</vt:lpstr>
      <vt:lpstr>g</vt:lpstr>
      <vt:lpstr>' AUTRE'!h</vt:lpstr>
      <vt:lpstr>h</vt:lpstr>
      <vt:lpstr>' AUTRE'!i</vt:lpstr>
      <vt:lpstr>i</vt:lpstr>
      <vt:lpstr>' AUTRE'!j</vt:lpstr>
      <vt:lpstr>j</vt:lpstr>
      <vt:lpstr>' AUTRE'!k</vt:lpstr>
      <vt:lpstr>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Antoine STIFKENS</dc:creator>
  <cp:keywords/>
  <dc:description/>
  <cp:lastModifiedBy>Antoine STIFKENS</cp:lastModifiedBy>
  <cp:revision/>
  <cp:lastPrinted>2025-08-11T13:15:54Z</cp:lastPrinted>
  <dcterms:created xsi:type="dcterms:W3CDTF">2023-09-08T08:49:16Z</dcterms:created>
  <dcterms:modified xsi:type="dcterms:W3CDTF">2025-09-22T09:27:08Z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0x010100995AAFA42327C64494D7FD2E355A1BF5</vt:lpwstr>
  </property>
</Properties>
</file>